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180" windowWidth="20400" windowHeight="7575" tabRatio="775" firstSheet="1" activeTab="7"/>
  </bookViews>
  <sheets>
    <sheet name="Concentrado General" sheetId="129" state="hidden" r:id="rId1"/>
    <sheet name="REGIDORES" sheetId="126" r:id="rId2"/>
    <sheet name="PERMANENTES" sheetId="120" r:id="rId3"/>
    <sheet name="SUPERNUMERARIO" sheetId="123" r:id="rId4"/>
    <sheet name="SEG.PUB.MPAL Y PROTECCION CIVIL" sheetId="124" r:id="rId5"/>
    <sheet name="JUBILADOS" sheetId="125" r:id="rId6"/>
    <sheet name="LAUDO" sheetId="127" r:id="rId7"/>
    <sheet name="tarifa" sheetId="2" r:id="rId8"/>
  </sheets>
  <externalReferences>
    <externalReference r:id="rId9"/>
  </externalReferences>
  <definedNames>
    <definedName name="_45">#REF!</definedName>
    <definedName name="_xlnm.Print_Area" localSheetId="5">JUBILADOS!$C$3:$AB$23</definedName>
    <definedName name="_xlnm.Print_Area" localSheetId="2">PERMANENTES!$B$93:$AC$119</definedName>
    <definedName name="_xlnm.Print_Area" localSheetId="1">REGIDORES!$A$3:$AB$30</definedName>
    <definedName name="_xlnm.Print_Area" localSheetId="4">'SEG.PUB.MPAL Y PROTECCION CIVIL'!$B$54:$AB$84</definedName>
    <definedName name="_xlnm.Print_Area" localSheetId="3">SUPERNUMERARIO!$B$63:$AC$94</definedName>
    <definedName name="CREDITO">#REF!</definedName>
    <definedName name="Credito1">tarifa!$F$50:$G$60</definedName>
    <definedName name="isr">#REF!</definedName>
    <definedName name="subsidio">#REF!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tarifa!$B$50:$D$60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24519"/>
</workbook>
</file>

<file path=xl/calcChain.xml><?xml version="1.0" encoding="utf-8"?>
<calcChain xmlns="http://schemas.openxmlformats.org/spreadsheetml/2006/main">
  <c r="Z66" i="124"/>
  <c r="X66"/>
  <c r="J66"/>
  <c r="G65"/>
  <c r="J65"/>
  <c r="M65"/>
  <c r="AA28"/>
  <c r="AA27"/>
  <c r="AA26"/>
  <c r="AA25"/>
  <c r="AA27" i="120"/>
  <c r="X27"/>
  <c r="AB27"/>
  <c r="H12" i="123"/>
  <c r="K12"/>
  <c r="H49" i="120"/>
  <c r="K49"/>
  <c r="AA24" i="124"/>
  <c r="AA23"/>
  <c r="C7" i="127"/>
  <c r="N83" i="123"/>
  <c r="AA60"/>
  <c r="AB60"/>
  <c r="N60"/>
  <c r="AA58"/>
  <c r="AB58"/>
  <c r="H58" i="120"/>
  <c r="K58"/>
  <c r="N58"/>
  <c r="U58"/>
  <c r="H19"/>
  <c r="K19"/>
  <c r="G22" i="124"/>
  <c r="J22"/>
  <c r="G21"/>
  <c r="J21"/>
  <c r="M21"/>
  <c r="P21"/>
  <c r="G20"/>
  <c r="J20"/>
  <c r="M20"/>
  <c r="T20"/>
  <c r="G19"/>
  <c r="J19"/>
  <c r="M19"/>
  <c r="G18"/>
  <c r="J18"/>
  <c r="M18"/>
  <c r="H20" i="123"/>
  <c r="K20"/>
  <c r="N20"/>
  <c r="AE84" i="120"/>
  <c r="N86" i="123"/>
  <c r="S86"/>
  <c r="H16"/>
  <c r="K16"/>
  <c r="N16"/>
  <c r="U16"/>
  <c r="N79"/>
  <c r="H66" i="120"/>
  <c r="K66"/>
  <c r="N66"/>
  <c r="U66"/>
  <c r="H84"/>
  <c r="K84"/>
  <c r="N84"/>
  <c r="H80"/>
  <c r="K80"/>
  <c r="N80"/>
  <c r="Q80"/>
  <c r="H79"/>
  <c r="K79"/>
  <c r="N79"/>
  <c r="H82"/>
  <c r="K82"/>
  <c r="N82"/>
  <c r="K19" i="127"/>
  <c r="L19"/>
  <c r="V19"/>
  <c r="Y19"/>
  <c r="I69" i="124"/>
  <c r="K69"/>
  <c r="L69"/>
  <c r="V69"/>
  <c r="Y69"/>
  <c r="H69"/>
  <c r="H19" i="127"/>
  <c r="Z15"/>
  <c r="M15"/>
  <c r="T15"/>
  <c r="J15"/>
  <c r="M14"/>
  <c r="R14"/>
  <c r="J14"/>
  <c r="J19"/>
  <c r="Z15" i="125"/>
  <c r="J15"/>
  <c r="J14"/>
  <c r="M14"/>
  <c r="P14"/>
  <c r="H17"/>
  <c r="D4" i="120"/>
  <c r="D39"/>
  <c r="D72" s="1"/>
  <c r="D94"/>
  <c r="H42" i="123"/>
  <c r="K42"/>
  <c r="N42"/>
  <c r="S42"/>
  <c r="H46"/>
  <c r="K46"/>
  <c r="N46"/>
  <c r="AA45"/>
  <c r="H45"/>
  <c r="K45"/>
  <c r="H44"/>
  <c r="K44"/>
  <c r="N44"/>
  <c r="AA43"/>
  <c r="N43"/>
  <c r="H43"/>
  <c r="Y51"/>
  <c r="AA51"/>
  <c r="H51"/>
  <c r="K51"/>
  <c r="AB51"/>
  <c r="H45" i="120"/>
  <c r="K45"/>
  <c r="N45"/>
  <c r="G64" i="124"/>
  <c r="J64"/>
  <c r="M64"/>
  <c r="G63"/>
  <c r="J63"/>
  <c r="AA28" i="123"/>
  <c r="Z112" i="120"/>
  <c r="Y35" i="124"/>
  <c r="I35"/>
  <c r="H35"/>
  <c r="G12"/>
  <c r="J12"/>
  <c r="G13"/>
  <c r="J13"/>
  <c r="G14"/>
  <c r="J14"/>
  <c r="M14"/>
  <c r="N14"/>
  <c r="O14" s="1"/>
  <c r="Q14" s="1"/>
  <c r="S14" s="1"/>
  <c r="U14" s="1"/>
  <c r="G15"/>
  <c r="J15"/>
  <c r="M15"/>
  <c r="G16"/>
  <c r="J16"/>
  <c r="M16"/>
  <c r="P16"/>
  <c r="G17"/>
  <c r="J17"/>
  <c r="G11"/>
  <c r="J11"/>
  <c r="M11"/>
  <c r="H87" i="123"/>
  <c r="K87"/>
  <c r="N87"/>
  <c r="O87"/>
  <c r="P87" s="1"/>
  <c r="R87" s="1"/>
  <c r="H85"/>
  <c r="K85"/>
  <c r="N85"/>
  <c r="U85"/>
  <c r="H82"/>
  <c r="K82"/>
  <c r="N82"/>
  <c r="H81"/>
  <c r="K81"/>
  <c r="H72"/>
  <c r="K72"/>
  <c r="N72"/>
  <c r="S72"/>
  <c r="H73"/>
  <c r="K73"/>
  <c r="N73"/>
  <c r="H74"/>
  <c r="K74"/>
  <c r="H75"/>
  <c r="K75"/>
  <c r="N75"/>
  <c r="H76"/>
  <c r="K76"/>
  <c r="N76"/>
  <c r="Q76"/>
  <c r="H77"/>
  <c r="K77"/>
  <c r="N77"/>
  <c r="H78"/>
  <c r="K78"/>
  <c r="H71"/>
  <c r="K71"/>
  <c r="N71"/>
  <c r="S71"/>
  <c r="T71" s="1"/>
  <c r="V71" s="1"/>
  <c r="H60"/>
  <c r="H52"/>
  <c r="K52"/>
  <c r="N52"/>
  <c r="O52"/>
  <c r="H53"/>
  <c r="K53"/>
  <c r="N53"/>
  <c r="H54"/>
  <c r="K54"/>
  <c r="N54"/>
  <c r="H55"/>
  <c r="K55"/>
  <c r="N55"/>
  <c r="H56"/>
  <c r="K56"/>
  <c r="N56"/>
  <c r="O56"/>
  <c r="P56" s="1"/>
  <c r="R56" s="1"/>
  <c r="T56" s="1"/>
  <c r="V56" s="1"/>
  <c r="H57"/>
  <c r="K57"/>
  <c r="H50"/>
  <c r="K50"/>
  <c r="N50"/>
  <c r="H49"/>
  <c r="K49"/>
  <c r="H48"/>
  <c r="K48"/>
  <c r="N48"/>
  <c r="H47"/>
  <c r="K47"/>
  <c r="N47"/>
  <c r="S47"/>
  <c r="H41"/>
  <c r="K41"/>
  <c r="N41"/>
  <c r="H28"/>
  <c r="K28"/>
  <c r="N28"/>
  <c r="H27"/>
  <c r="K27"/>
  <c r="N27"/>
  <c r="H25"/>
  <c r="K25"/>
  <c r="N25"/>
  <c r="S25"/>
  <c r="H23"/>
  <c r="K23"/>
  <c r="N23"/>
  <c r="H21"/>
  <c r="K21"/>
  <c r="N21"/>
  <c r="H18"/>
  <c r="K18"/>
  <c r="N18"/>
  <c r="H14"/>
  <c r="K14"/>
  <c r="G23" i="126"/>
  <c r="H110" i="120"/>
  <c r="K110"/>
  <c r="N110"/>
  <c r="H109"/>
  <c r="K109"/>
  <c r="N109"/>
  <c r="O109"/>
  <c r="H108"/>
  <c r="K108"/>
  <c r="N108"/>
  <c r="H101"/>
  <c r="K101"/>
  <c r="N101"/>
  <c r="H102"/>
  <c r="K102"/>
  <c r="N102"/>
  <c r="U102"/>
  <c r="H103"/>
  <c r="K103"/>
  <c r="N103"/>
  <c r="H104"/>
  <c r="K104"/>
  <c r="N104"/>
  <c r="H105"/>
  <c r="K105"/>
  <c r="N105"/>
  <c r="Q105"/>
  <c r="H106"/>
  <c r="K106"/>
  <c r="N106"/>
  <c r="Q106"/>
  <c r="H100"/>
  <c r="K100"/>
  <c r="N100"/>
  <c r="O100"/>
  <c r="Q100"/>
  <c r="H90"/>
  <c r="K90"/>
  <c r="H89"/>
  <c r="K89"/>
  <c r="N89"/>
  <c r="H87"/>
  <c r="K87"/>
  <c r="N87"/>
  <c r="U87"/>
  <c r="H78"/>
  <c r="K78"/>
  <c r="H68"/>
  <c r="K68"/>
  <c r="N68"/>
  <c r="Q68"/>
  <c r="H65"/>
  <c r="K65"/>
  <c r="N65"/>
  <c r="H64"/>
  <c r="K64"/>
  <c r="H63"/>
  <c r="K63"/>
  <c r="N63"/>
  <c r="O63"/>
  <c r="P63" s="1"/>
  <c r="R63" s="1"/>
  <c r="H62"/>
  <c r="K62"/>
  <c r="N62"/>
  <c r="H61"/>
  <c r="K61"/>
  <c r="H60"/>
  <c r="K60"/>
  <c r="N60"/>
  <c r="Q60"/>
  <c r="H57"/>
  <c r="K57"/>
  <c r="H56"/>
  <c r="K56"/>
  <c r="N56"/>
  <c r="H54"/>
  <c r="K54"/>
  <c r="N54"/>
  <c r="H52"/>
  <c r="K52"/>
  <c r="N52"/>
  <c r="U52"/>
  <c r="H48"/>
  <c r="K48"/>
  <c r="N48"/>
  <c r="Q48"/>
  <c r="H47"/>
  <c r="K47"/>
  <c r="N47"/>
  <c r="H44"/>
  <c r="K44"/>
  <c r="N44"/>
  <c r="U44"/>
  <c r="H34"/>
  <c r="K34"/>
  <c r="N34"/>
  <c r="H32"/>
  <c r="K32"/>
  <c r="N32"/>
  <c r="S32"/>
  <c r="H31"/>
  <c r="K31"/>
  <c r="N31"/>
  <c r="H29"/>
  <c r="K29"/>
  <c r="N29"/>
  <c r="H26"/>
  <c r="K26"/>
  <c r="N26"/>
  <c r="Q26"/>
  <c r="H24"/>
  <c r="K24"/>
  <c r="N24"/>
  <c r="Q24"/>
  <c r="H22"/>
  <c r="K22"/>
  <c r="H21"/>
  <c r="K21"/>
  <c r="N21"/>
  <c r="H17"/>
  <c r="K17"/>
  <c r="N17"/>
  <c r="U17"/>
  <c r="H12"/>
  <c r="K12"/>
  <c r="H14"/>
  <c r="K14"/>
  <c r="N14"/>
  <c r="H15"/>
  <c r="K15"/>
  <c r="H11"/>
  <c r="K11"/>
  <c r="F20" i="126"/>
  <c r="I20"/>
  <c r="L20"/>
  <c r="F12"/>
  <c r="I12"/>
  <c r="L12"/>
  <c r="F13"/>
  <c r="I13"/>
  <c r="L13"/>
  <c r="F14"/>
  <c r="I14"/>
  <c r="L14"/>
  <c r="F15"/>
  <c r="I15"/>
  <c r="L15"/>
  <c r="F16"/>
  <c r="I16"/>
  <c r="L16"/>
  <c r="F17"/>
  <c r="I17"/>
  <c r="L17"/>
  <c r="F18"/>
  <c r="I18"/>
  <c r="L18"/>
  <c r="F19"/>
  <c r="L19"/>
  <c r="F21"/>
  <c r="O21"/>
  <c r="F11"/>
  <c r="I11"/>
  <c r="L11"/>
  <c r="M11"/>
  <c r="M13" i="125"/>
  <c r="J13"/>
  <c r="M12"/>
  <c r="J12"/>
  <c r="M88" i="123"/>
  <c r="J88"/>
  <c r="J112" i="120"/>
  <c r="M112"/>
  <c r="N12" i="125"/>
  <c r="M21" i="126"/>
  <c r="Q21"/>
  <c r="L21"/>
  <c r="N21"/>
  <c r="P21" s="1"/>
  <c r="R21"/>
  <c r="T21" s="1"/>
  <c r="S21"/>
  <c r="M19"/>
  <c r="S19"/>
  <c r="P12" i="125"/>
  <c r="S13" i="126"/>
  <c r="M12"/>
  <c r="I23"/>
  <c r="Q15"/>
  <c r="P13" i="125"/>
  <c r="T14" i="127"/>
  <c r="R15"/>
  <c r="I112" i="120"/>
  <c r="H13"/>
  <c r="K13"/>
  <c r="N13"/>
  <c r="O43" i="123"/>
  <c r="P43" s="1"/>
  <c r="R43" s="1"/>
  <c r="P15" i="127"/>
  <c r="N78" i="120"/>
  <c r="N61"/>
  <c r="U61"/>
  <c r="S58"/>
  <c r="U63"/>
  <c r="T19" i="127"/>
  <c r="M19"/>
  <c r="N15"/>
  <c r="O15"/>
  <c r="N14"/>
  <c r="O14" s="1"/>
  <c r="Q14" s="1"/>
  <c r="S14" s="1"/>
  <c r="P14"/>
  <c r="P19"/>
  <c r="Q66" i="120"/>
  <c r="U65"/>
  <c r="S66"/>
  <c r="S65"/>
  <c r="O83" i="123"/>
  <c r="P83" s="1"/>
  <c r="Q83"/>
  <c r="N58"/>
  <c r="Q62" i="120"/>
  <c r="Q108"/>
  <c r="Q79"/>
  <c r="O79"/>
  <c r="U79"/>
  <c r="O80"/>
  <c r="U80"/>
  <c r="Q58"/>
  <c r="O82"/>
  <c r="P82" s="1"/>
  <c r="O58"/>
  <c r="P58"/>
  <c r="R58" s="1"/>
  <c r="U101"/>
  <c r="O110"/>
  <c r="P110" s="1"/>
  <c r="I88" i="123"/>
  <c r="O86"/>
  <c r="P86"/>
  <c r="R86" s="1"/>
  <c r="N49" i="120"/>
  <c r="O49"/>
  <c r="S49"/>
  <c r="Q21"/>
  <c r="Z88" i="123"/>
  <c r="Q86"/>
  <c r="U82"/>
  <c r="U86"/>
  <c r="O71"/>
  <c r="U43"/>
  <c r="Q43"/>
  <c r="S43"/>
  <c r="T43"/>
  <c r="V43" s="1"/>
  <c r="X43" s="1"/>
  <c r="AB43" s="1"/>
  <c r="Q16"/>
  <c r="U83"/>
  <c r="S83"/>
  <c r="Q85"/>
  <c r="O79"/>
  <c r="S52"/>
  <c r="O85"/>
  <c r="P85" s="1"/>
  <c r="S55"/>
  <c r="N14"/>
  <c r="S14"/>
  <c r="R13" i="125"/>
  <c r="N13"/>
  <c r="O13" s="1"/>
  <c r="T13"/>
  <c r="S11" i="126"/>
  <c r="S15"/>
  <c r="M14"/>
  <c r="O13"/>
  <c r="M20"/>
  <c r="O24" i="120"/>
  <c r="P24" s="1"/>
  <c r="R24" s="1"/>
  <c r="T24" s="1"/>
  <c r="AA15" i="125"/>
  <c r="O11" i="126"/>
  <c r="N11"/>
  <c r="P11"/>
  <c r="S14" i="120"/>
  <c r="U34"/>
  <c r="AA19"/>
  <c r="T86" i="123"/>
  <c r="V86" s="1"/>
  <c r="Y86" s="1"/>
  <c r="AA86" s="1"/>
  <c r="U23"/>
  <c r="S17" i="120"/>
  <c r="S27" i="123"/>
  <c r="Q27"/>
  <c r="O48"/>
  <c r="S77"/>
  <c r="U77"/>
  <c r="O73"/>
  <c r="P73"/>
  <c r="U73"/>
  <c r="Q20"/>
  <c r="U20"/>
  <c r="O21"/>
  <c r="P21" s="1"/>
  <c r="Q21"/>
  <c r="U28"/>
  <c r="Q28"/>
  <c r="O44"/>
  <c r="P44"/>
  <c r="R44" s="1"/>
  <c r="U44"/>
  <c r="Q25"/>
  <c r="U54"/>
  <c r="R85"/>
  <c r="T85" s="1"/>
  <c r="S85"/>
  <c r="U47"/>
  <c r="U58"/>
  <c r="O16"/>
  <c r="P16"/>
  <c r="O75"/>
  <c r="S16"/>
  <c r="S75"/>
  <c r="U14"/>
  <c r="O18"/>
  <c r="Q18"/>
  <c r="S21"/>
  <c r="N49"/>
  <c r="S50"/>
  <c r="Q55"/>
  <c r="O55"/>
  <c r="P55"/>
  <c r="R55" s="1"/>
  <c r="T55" s="1"/>
  <c r="U55"/>
  <c r="U53"/>
  <c r="Q53"/>
  <c r="O53"/>
  <c r="P53"/>
  <c r="R53" s="1"/>
  <c r="T53" s="1"/>
  <c r="V53" s="1"/>
  <c r="U76"/>
  <c r="S76"/>
  <c r="O72"/>
  <c r="Q72"/>
  <c r="P72"/>
  <c r="O82"/>
  <c r="P82"/>
  <c r="S82"/>
  <c r="N45"/>
  <c r="Q46"/>
  <c r="S46"/>
  <c r="U42"/>
  <c r="O42"/>
  <c r="P42" s="1"/>
  <c r="Q42"/>
  <c r="R42" s="1"/>
  <c r="T42" s="1"/>
  <c r="V42" s="1"/>
  <c r="S79"/>
  <c r="P79"/>
  <c r="Q79"/>
  <c r="R79"/>
  <c r="T79" s="1"/>
  <c r="V79" s="1"/>
  <c r="X79" s="1"/>
  <c r="AB79" s="1"/>
  <c r="S20"/>
  <c r="S60"/>
  <c r="Q60"/>
  <c r="O60"/>
  <c r="P60" s="1"/>
  <c r="R60" s="1"/>
  <c r="N12"/>
  <c r="S28"/>
  <c r="O28"/>
  <c r="P28" s="1"/>
  <c r="R28"/>
  <c r="T28" s="1"/>
  <c r="V28" s="1"/>
  <c r="X28" s="1"/>
  <c r="AB28" s="1"/>
  <c r="O14"/>
  <c r="P14"/>
  <c r="R14" s="1"/>
  <c r="T14" s="1"/>
  <c r="V14" s="1"/>
  <c r="Q14"/>
  <c r="U60"/>
  <c r="O76"/>
  <c r="P76" s="1"/>
  <c r="R76"/>
  <c r="T76" s="1"/>
  <c r="V76" s="1"/>
  <c r="Q82"/>
  <c r="Q50"/>
  <c r="U46"/>
  <c r="U21"/>
  <c r="O20"/>
  <c r="P20"/>
  <c r="R20" s="1"/>
  <c r="T20"/>
  <c r="V20" s="1"/>
  <c r="U79"/>
  <c r="S53"/>
  <c r="U72"/>
  <c r="O46"/>
  <c r="P46"/>
  <c r="R46" s="1"/>
  <c r="T46"/>
  <c r="V46" s="1"/>
  <c r="X46" s="1"/>
  <c r="AB46" s="1"/>
  <c r="S58"/>
  <c r="O25"/>
  <c r="P25"/>
  <c r="U25"/>
  <c r="O47"/>
  <c r="P47"/>
  <c r="Q47"/>
  <c r="Q56"/>
  <c r="S56"/>
  <c r="U56"/>
  <c r="Q54"/>
  <c r="Q52"/>
  <c r="U52"/>
  <c r="P52"/>
  <c r="R52"/>
  <c r="T52" s="1"/>
  <c r="V52" s="1"/>
  <c r="X52" s="1"/>
  <c r="AB52" s="1"/>
  <c r="Q71"/>
  <c r="P71"/>
  <c r="R71" s="1"/>
  <c r="U71"/>
  <c r="N78"/>
  <c r="N74"/>
  <c r="N81"/>
  <c r="Q87"/>
  <c r="U87"/>
  <c r="T87"/>
  <c r="V87" s="1"/>
  <c r="S87"/>
  <c r="S48"/>
  <c r="Q48"/>
  <c r="Q73"/>
  <c r="S73"/>
  <c r="S44"/>
  <c r="T44"/>
  <c r="V44" s="1"/>
  <c r="Q44"/>
  <c r="O81"/>
  <c r="S81"/>
  <c r="P81"/>
  <c r="R81" s="1"/>
  <c r="T81" s="1"/>
  <c r="Q81"/>
  <c r="U81"/>
  <c r="Q74"/>
  <c r="U74"/>
  <c r="O78"/>
  <c r="U78"/>
  <c r="P78"/>
  <c r="Q78"/>
  <c r="R78" s="1"/>
  <c r="T78" s="1"/>
  <c r="V78" s="1"/>
  <c r="S78"/>
  <c r="Q12"/>
  <c r="R12" s="1"/>
  <c r="T12" s="1"/>
  <c r="V12" s="1"/>
  <c r="O49"/>
  <c r="P49"/>
  <c r="R49" s="1"/>
  <c r="Q49"/>
  <c r="S49"/>
  <c r="U49"/>
  <c r="T60"/>
  <c r="V60" s="1"/>
  <c r="Q45"/>
  <c r="U45"/>
  <c r="R72"/>
  <c r="T72" s="1"/>
  <c r="V72"/>
  <c r="V81"/>
  <c r="Y81" s="1"/>
  <c r="AA81" s="1"/>
  <c r="AB81" s="1"/>
  <c r="N19" i="120"/>
  <c r="S87"/>
  <c r="O87"/>
  <c r="P87"/>
  <c r="R87" s="1"/>
  <c r="Q87"/>
  <c r="S74" i="123"/>
  <c r="O74"/>
  <c r="P74"/>
  <c r="R74" s="1"/>
  <c r="T74" s="1"/>
  <c r="O45"/>
  <c r="P45" s="1"/>
  <c r="R45" s="1"/>
  <c r="T45" s="1"/>
  <c r="V45" s="1"/>
  <c r="X45" s="1"/>
  <c r="AB45" s="1"/>
  <c r="S45"/>
  <c r="R47"/>
  <c r="U12"/>
  <c r="S12"/>
  <c r="O12"/>
  <c r="X86"/>
  <c r="AB86" s="1"/>
  <c r="Q11" i="126"/>
  <c r="R11"/>
  <c r="T11" s="1"/>
  <c r="V11" s="1"/>
  <c r="O18"/>
  <c r="Q45" i="120"/>
  <c r="O45"/>
  <c r="S61"/>
  <c r="O61"/>
  <c r="P61"/>
  <c r="R61" s="1"/>
  <c r="T61" s="1"/>
  <c r="V61" s="1"/>
  <c r="Q61"/>
  <c r="Q63"/>
  <c r="S63"/>
  <c r="P49"/>
  <c r="Q58" i="123"/>
  <c r="O58"/>
  <c r="P58" s="1"/>
  <c r="R58"/>
  <c r="T58" s="1"/>
  <c r="V58" s="1"/>
  <c r="Q65" i="120"/>
  <c r="O65"/>
  <c r="P65" s="1"/>
  <c r="U78"/>
  <c r="S12" i="126"/>
  <c r="Q12"/>
  <c r="O12"/>
  <c r="Q14" i="120"/>
  <c r="O14"/>
  <c r="P14"/>
  <c r="R14" s="1"/>
  <c r="T14" s="1"/>
  <c r="V14" s="1"/>
  <c r="U14"/>
  <c r="O44"/>
  <c r="P44"/>
  <c r="R44" s="1"/>
  <c r="O68"/>
  <c r="P68"/>
  <c r="R68" s="1"/>
  <c r="T68" s="1"/>
  <c r="S68"/>
  <c r="N19" i="126"/>
  <c r="Q19"/>
  <c r="O19"/>
  <c r="T87" i="120"/>
  <c r="V87" s="1"/>
  <c r="X87" s="1"/>
  <c r="AB87" s="1"/>
  <c r="R65"/>
  <c r="T65" s="1"/>
  <c r="V65"/>
  <c r="Y65" s="1"/>
  <c r="AA65" s="1"/>
  <c r="U14" i="127"/>
  <c r="P12" i="123"/>
  <c r="O19" i="120"/>
  <c r="P19" s="1"/>
  <c r="S19"/>
  <c r="U19"/>
  <c r="O26"/>
  <c r="P26"/>
  <c r="R26" s="1"/>
  <c r="T26" s="1"/>
  <c r="V26" s="1"/>
  <c r="S26"/>
  <c r="U26"/>
  <c r="Q19"/>
  <c r="N12"/>
  <c r="U21"/>
  <c r="S21"/>
  <c r="U47"/>
  <c r="S47"/>
  <c r="Q47"/>
  <c r="O47"/>
  <c r="P47" s="1"/>
  <c r="R47"/>
  <c r="T47" s="1"/>
  <c r="V47" s="1"/>
  <c r="X47" s="1"/>
  <c r="Q54"/>
  <c r="U54"/>
  <c r="S54"/>
  <c r="N57"/>
  <c r="U89"/>
  <c r="Q89"/>
  <c r="S89"/>
  <c r="O89"/>
  <c r="U103"/>
  <c r="O103"/>
  <c r="P103" s="1"/>
  <c r="S103"/>
  <c r="Q103"/>
  <c r="R103" s="1"/>
  <c r="T103" s="1"/>
  <c r="V103" s="1"/>
  <c r="S84"/>
  <c r="Q84"/>
  <c r="O84"/>
  <c r="P84" s="1"/>
  <c r="R84" s="1"/>
  <c r="T84" s="1"/>
  <c r="V84" s="1"/>
  <c r="U84"/>
  <c r="P89"/>
  <c r="R89" s="1"/>
  <c r="T89" s="1"/>
  <c r="V89" s="1"/>
  <c r="O54"/>
  <c r="P54" s="1"/>
  <c r="R54" s="1"/>
  <c r="T54" s="1"/>
  <c r="S62"/>
  <c r="U62"/>
  <c r="O62"/>
  <c r="P62" s="1"/>
  <c r="R62"/>
  <c r="T62" s="1"/>
  <c r="V62" s="1"/>
  <c r="Q34"/>
  <c r="S34"/>
  <c r="O34"/>
  <c r="P34"/>
  <c r="R19"/>
  <c r="T19" s="1"/>
  <c r="V19" s="1"/>
  <c r="S31"/>
  <c r="O31"/>
  <c r="U31"/>
  <c r="Q31"/>
  <c r="P31"/>
  <c r="O21"/>
  <c r="P21"/>
  <c r="R21" s="1"/>
  <c r="T21"/>
  <c r="V21" s="1"/>
  <c r="Y21" s="1"/>
  <c r="AA21" s="1"/>
  <c r="U48"/>
  <c r="O48"/>
  <c r="P48"/>
  <c r="R48" s="1"/>
  <c r="T48"/>
  <c r="V48" s="1"/>
  <c r="O60"/>
  <c r="P60" s="1"/>
  <c r="R60"/>
  <c r="U60"/>
  <c r="Q104"/>
  <c r="O104"/>
  <c r="P104"/>
  <c r="R104" s="1"/>
  <c r="T104" s="1"/>
  <c r="O101"/>
  <c r="P101" s="1"/>
  <c r="S101"/>
  <c r="Q101"/>
  <c r="U45"/>
  <c r="P45"/>
  <c r="R45"/>
  <c r="T45" s="1"/>
  <c r="V45" s="1"/>
  <c r="Y45" s="1"/>
  <c r="AA45" s="1"/>
  <c r="Q49"/>
  <c r="R49"/>
  <c r="T49" s="1"/>
  <c r="T58"/>
  <c r="V58" s="1"/>
  <c r="Y58" s="1"/>
  <c r="AA58" s="1"/>
  <c r="Q44"/>
  <c r="S44"/>
  <c r="U13"/>
  <c r="U49"/>
  <c r="S45"/>
  <c r="S60"/>
  <c r="S80"/>
  <c r="P80"/>
  <c r="R80" s="1"/>
  <c r="T80" s="1"/>
  <c r="V80" s="1"/>
  <c r="X80" s="1"/>
  <c r="AB80" s="1"/>
  <c r="S48"/>
  <c r="N22"/>
  <c r="O22"/>
  <c r="O102"/>
  <c r="P102"/>
  <c r="R102" s="1"/>
  <c r="Q102"/>
  <c r="S102"/>
  <c r="P109"/>
  <c r="R109"/>
  <c r="S109"/>
  <c r="Q109"/>
  <c r="U109"/>
  <c r="S82"/>
  <c r="U82"/>
  <c r="Q82"/>
  <c r="O78"/>
  <c r="P78"/>
  <c r="R78" s="1"/>
  <c r="T78"/>
  <c r="V78" s="1"/>
  <c r="S78"/>
  <c r="Q17"/>
  <c r="U24"/>
  <c r="S24"/>
  <c r="T63"/>
  <c r="V63" s="1"/>
  <c r="Q78"/>
  <c r="N64"/>
  <c r="U64"/>
  <c r="S13"/>
  <c r="Q13"/>
  <c r="N11"/>
  <c r="O11"/>
  <c r="O52"/>
  <c r="P52" s="1"/>
  <c r="Q52"/>
  <c r="S52"/>
  <c r="O56"/>
  <c r="P56" s="1"/>
  <c r="R56" s="1"/>
  <c r="Q56"/>
  <c r="S56"/>
  <c r="U56"/>
  <c r="N90"/>
  <c r="Q90"/>
  <c r="O106"/>
  <c r="P106" s="1"/>
  <c r="R106" s="1"/>
  <c r="T106" s="1"/>
  <c r="V106" s="1"/>
  <c r="U106"/>
  <c r="S106"/>
  <c r="AB19"/>
  <c r="U105"/>
  <c r="O105"/>
  <c r="P105"/>
  <c r="R105" s="1"/>
  <c r="S105"/>
  <c r="S110"/>
  <c r="Q110"/>
  <c r="U110"/>
  <c r="O66"/>
  <c r="P66"/>
  <c r="R66" s="1"/>
  <c r="T66" s="1"/>
  <c r="V66" s="1"/>
  <c r="P100"/>
  <c r="R100" s="1"/>
  <c r="T100" s="1"/>
  <c r="V100" s="1"/>
  <c r="U100"/>
  <c r="S100"/>
  <c r="P79"/>
  <c r="R79" s="1"/>
  <c r="S79"/>
  <c r="D4" i="123"/>
  <c r="D34"/>
  <c r="D64" s="1"/>
  <c r="X58" i="120"/>
  <c r="AB58" s="1"/>
  <c r="R101"/>
  <c r="V54"/>
  <c r="Q12"/>
  <c r="U12"/>
  <c r="S12"/>
  <c r="O12"/>
  <c r="V24"/>
  <c r="T102"/>
  <c r="V102" s="1"/>
  <c r="S90"/>
  <c r="U90"/>
  <c r="Q22"/>
  <c r="S22"/>
  <c r="P22"/>
  <c r="R22" s="1"/>
  <c r="T22"/>
  <c r="V22" s="1"/>
  <c r="U22"/>
  <c r="Q11"/>
  <c r="U11"/>
  <c r="Q64"/>
  <c r="O64"/>
  <c r="P64"/>
  <c r="R64" s="1"/>
  <c r="T64"/>
  <c r="V64" s="1"/>
  <c r="Y64" s="1"/>
  <c r="AA64" s="1"/>
  <c r="R82"/>
  <c r="T82" s="1"/>
  <c r="V82"/>
  <c r="R31"/>
  <c r="T31" s="1"/>
  <c r="V31" s="1"/>
  <c r="X31" s="1"/>
  <c r="S64"/>
  <c r="R34"/>
  <c r="T34" s="1"/>
  <c r="V34"/>
  <c r="X34" s="1"/>
  <c r="U57"/>
  <c r="O57"/>
  <c r="P57" s="1"/>
  <c r="Q57"/>
  <c r="S57"/>
  <c r="C4" i="124"/>
  <c r="C5" i="125"/>
  <c r="R57" i="120"/>
  <c r="T57" s="1"/>
  <c r="V57" s="1"/>
  <c r="M29" i="124"/>
  <c r="R65"/>
  <c r="P65"/>
  <c r="N65"/>
  <c r="O65" s="1"/>
  <c r="Q65"/>
  <c r="S65" s="1"/>
  <c r="U65" s="1"/>
  <c r="T65"/>
  <c r="J69"/>
  <c r="M63"/>
  <c r="P63"/>
  <c r="P69" s="1"/>
  <c r="R11"/>
  <c r="P11"/>
  <c r="N11"/>
  <c r="O11" s="1"/>
  <c r="Q11" s="1"/>
  <c r="S11" s="1"/>
  <c r="U11"/>
  <c r="T11"/>
  <c r="R64"/>
  <c r="P64"/>
  <c r="N64"/>
  <c r="T64"/>
  <c r="R19"/>
  <c r="T19"/>
  <c r="P19"/>
  <c r="N19"/>
  <c r="O19"/>
  <c r="Q19" s="1"/>
  <c r="S19" s="1"/>
  <c r="U19" s="1"/>
  <c r="N18"/>
  <c r="O18" s="1"/>
  <c r="Q18" s="1"/>
  <c r="S18" s="1"/>
  <c r="U18" s="1"/>
  <c r="T18"/>
  <c r="R18"/>
  <c r="P18"/>
  <c r="T14"/>
  <c r="N15"/>
  <c r="O15" s="1"/>
  <c r="Q15" s="1"/>
  <c r="S15" s="1"/>
  <c r="U15" s="1"/>
  <c r="P15"/>
  <c r="R15"/>
  <c r="T15"/>
  <c r="R20"/>
  <c r="N20"/>
  <c r="O20" s="1"/>
  <c r="Q20"/>
  <c r="S20" s="1"/>
  <c r="U20" s="1"/>
  <c r="P20"/>
  <c r="M22"/>
  <c r="M17"/>
  <c r="N16"/>
  <c r="O16" s="1"/>
  <c r="Q16"/>
  <c r="S16" s="1"/>
  <c r="U16" s="1"/>
  <c r="X16" s="1"/>
  <c r="R16"/>
  <c r="T16"/>
  <c r="R14"/>
  <c r="P14"/>
  <c r="M13"/>
  <c r="R21"/>
  <c r="N21"/>
  <c r="O21" s="1"/>
  <c r="Q21"/>
  <c r="S21" s="1"/>
  <c r="U21" s="1"/>
  <c r="W21" s="1"/>
  <c r="T21"/>
  <c r="M12"/>
  <c r="R12"/>
  <c r="J35"/>
  <c r="C56"/>
  <c r="P29"/>
  <c r="R29"/>
  <c r="N29"/>
  <c r="O29" s="1"/>
  <c r="Q29" s="1"/>
  <c r="T29"/>
  <c r="R63"/>
  <c r="P17"/>
  <c r="N17"/>
  <c r="O17"/>
  <c r="R17"/>
  <c r="T17"/>
  <c r="N12"/>
  <c r="T12"/>
  <c r="R13"/>
  <c r="T13"/>
  <c r="P13"/>
  <c r="N13"/>
  <c r="O13" s="1"/>
  <c r="Q13"/>
  <c r="S13" s="1"/>
  <c r="U13" s="1"/>
  <c r="X13" s="1"/>
  <c r="T22"/>
  <c r="N22"/>
  <c r="P22"/>
  <c r="O22"/>
  <c r="Q22" s="1"/>
  <c r="S22"/>
  <c r="U22" s="1"/>
  <c r="W22" s="1"/>
  <c r="AA22" s="1"/>
  <c r="R22"/>
  <c r="S29"/>
  <c r="U29" s="1"/>
  <c r="W29" s="1"/>
  <c r="Q17"/>
  <c r="S17" s="1"/>
  <c r="U17"/>
  <c r="X17" s="1"/>
  <c r="Z17" s="1"/>
  <c r="U32" i="120"/>
  <c r="O32"/>
  <c r="Q32"/>
  <c r="P32"/>
  <c r="R32" s="1"/>
  <c r="T32" s="1"/>
  <c r="V32" s="1"/>
  <c r="AA32"/>
  <c r="AB32"/>
  <c r="Y34"/>
  <c r="AA34" s="1"/>
  <c r="X64"/>
  <c r="X21"/>
  <c r="AB21" s="1"/>
  <c r="X22" i="124"/>
  <c r="Z22" s="1"/>
  <c r="W13"/>
  <c r="Z13"/>
  <c r="X21"/>
  <c r="Z21" s="1"/>
  <c r="AA21" s="1"/>
  <c r="Z16"/>
  <c r="Y80" i="120"/>
  <c r="AA80" s="1"/>
  <c r="X82"/>
  <c r="Y82"/>
  <c r="AA82" s="1"/>
  <c r="R52"/>
  <c r="T52" s="1"/>
  <c r="V52"/>
  <c r="Y52" s="1"/>
  <c r="AA52" s="1"/>
  <c r="X65"/>
  <c r="X81" i="123"/>
  <c r="P12" i="124"/>
  <c r="O12"/>
  <c r="Q12" s="1"/>
  <c r="S12"/>
  <c r="U12" s="1"/>
  <c r="M69"/>
  <c r="N63"/>
  <c r="T63"/>
  <c r="T69" s="1"/>
  <c r="S11" i="120"/>
  <c r="P11"/>
  <c r="O90"/>
  <c r="P90" s="1"/>
  <c r="R90" s="1"/>
  <c r="T90" s="1"/>
  <c r="V90" s="1"/>
  <c r="X45"/>
  <c r="X14" i="127"/>
  <c r="Z14" s="1"/>
  <c r="W14"/>
  <c r="Y87" i="120"/>
  <c r="AA87" s="1"/>
  <c r="Y52" i="123"/>
  <c r="AA52" s="1"/>
  <c r="Y46"/>
  <c r="AA46" s="1"/>
  <c r="Y76"/>
  <c r="AA76" s="1"/>
  <c r="X76"/>
  <c r="Y79"/>
  <c r="M16" i="126"/>
  <c r="N16" s="1"/>
  <c r="S16"/>
  <c r="Q16"/>
  <c r="O16"/>
  <c r="O29" i="120"/>
  <c r="Q29"/>
  <c r="P29"/>
  <c r="S29"/>
  <c r="U29"/>
  <c r="U104"/>
  <c r="S104"/>
  <c r="R82" i="123"/>
  <c r="T82" s="1"/>
  <c r="V82"/>
  <c r="Y82" s="1"/>
  <c r="AA82" s="1"/>
  <c r="O17" i="126"/>
  <c r="Q17"/>
  <c r="M17"/>
  <c r="S17"/>
  <c r="N17"/>
  <c r="P17"/>
  <c r="R17" s="1"/>
  <c r="T17" s="1"/>
  <c r="O14"/>
  <c r="N14"/>
  <c r="S14"/>
  <c r="Q14"/>
  <c r="J17" i="125"/>
  <c r="M18" i="126"/>
  <c r="N18" s="1"/>
  <c r="P18" s="1"/>
  <c r="R18" s="1"/>
  <c r="T18" s="1"/>
  <c r="S18"/>
  <c r="Q18"/>
  <c r="O20"/>
  <c r="N20"/>
  <c r="P20" s="1"/>
  <c r="R20"/>
  <c r="Q20"/>
  <c r="K112" i="120"/>
  <c r="U18" i="123"/>
  <c r="S18"/>
  <c r="S88" s="1"/>
  <c r="P18"/>
  <c r="O27"/>
  <c r="U27"/>
  <c r="P27"/>
  <c r="R27" s="1"/>
  <c r="T27" s="1"/>
  <c r="V27" s="1"/>
  <c r="U48"/>
  <c r="P48"/>
  <c r="R48"/>
  <c r="T48" s="1"/>
  <c r="V48" s="1"/>
  <c r="O50"/>
  <c r="P50"/>
  <c r="R50" s="1"/>
  <c r="T50"/>
  <c r="U50"/>
  <c r="O54"/>
  <c r="P54" s="1"/>
  <c r="R54" s="1"/>
  <c r="T54" s="1"/>
  <c r="V54" s="1"/>
  <c r="S54"/>
  <c r="Q13" i="125"/>
  <c r="S13" s="1"/>
  <c r="U13" s="1"/>
  <c r="X13" s="1"/>
  <c r="Z13" s="1"/>
  <c r="AA13" s="1"/>
  <c r="R83" i="123"/>
  <c r="T83" s="1"/>
  <c r="V83"/>
  <c r="N19" i="127"/>
  <c r="O13" i="120"/>
  <c r="T12" i="125"/>
  <c r="O12"/>
  <c r="Q12"/>
  <c r="R12"/>
  <c r="O15" i="126"/>
  <c r="M15"/>
  <c r="N15"/>
  <c r="P15" s="1"/>
  <c r="R15"/>
  <c r="T15" s="1"/>
  <c r="V15" s="1"/>
  <c r="Z15" s="1"/>
  <c r="M13"/>
  <c r="N13" s="1"/>
  <c r="P13"/>
  <c r="Q13"/>
  <c r="N12"/>
  <c r="P12" s="1"/>
  <c r="R12" s="1"/>
  <c r="T12" s="1"/>
  <c r="S20"/>
  <c r="N15" i="120"/>
  <c r="O15"/>
  <c r="P15" s="1"/>
  <c r="O17"/>
  <c r="P17"/>
  <c r="R17" s="1"/>
  <c r="T17" s="1"/>
  <c r="V17" s="1"/>
  <c r="Y17" s="1"/>
  <c r="AA17" s="1"/>
  <c r="AB17" s="1"/>
  <c r="U68"/>
  <c r="V68"/>
  <c r="U108"/>
  <c r="O108"/>
  <c r="P108" s="1"/>
  <c r="R108"/>
  <c r="T108" s="1"/>
  <c r="V108" s="1"/>
  <c r="S108"/>
  <c r="S23" i="123"/>
  <c r="O23"/>
  <c r="Q23"/>
  <c r="U41"/>
  <c r="Q41"/>
  <c r="O41"/>
  <c r="P41"/>
  <c r="S41"/>
  <c r="O77"/>
  <c r="P77" s="1"/>
  <c r="Q77"/>
  <c r="U75"/>
  <c r="Q75"/>
  <c r="R75" s="1"/>
  <c r="T75" s="1"/>
  <c r="V75" s="1"/>
  <c r="P75"/>
  <c r="N14" i="125"/>
  <c r="O14" s="1"/>
  <c r="Q14" s="1"/>
  <c r="S14" s="1"/>
  <c r="U14" s="1"/>
  <c r="X14" s="1"/>
  <c r="Z14" s="1"/>
  <c r="AA14" s="1"/>
  <c r="R14"/>
  <c r="T14"/>
  <c r="Y68" i="120"/>
  <c r="AA68" s="1"/>
  <c r="X68"/>
  <c r="W15" i="126"/>
  <c r="Y15" s="1"/>
  <c r="P13" i="120"/>
  <c r="R13"/>
  <c r="T13" s="1"/>
  <c r="V13"/>
  <c r="Y13" s="1"/>
  <c r="AA13" s="1"/>
  <c r="AB13" s="1"/>
  <c r="X82" i="123"/>
  <c r="X19" i="127"/>
  <c r="O63" i="124"/>
  <c r="V104" i="120"/>
  <c r="Y104" s="1"/>
  <c r="AA104" s="1"/>
  <c r="R41" i="123"/>
  <c r="T41" s="1"/>
  <c r="V41" s="1"/>
  <c r="P23"/>
  <c r="R23"/>
  <c r="T23" s="1"/>
  <c r="V23"/>
  <c r="Y23" s="1"/>
  <c r="AA23" s="1"/>
  <c r="Q15" i="120"/>
  <c r="Q112"/>
  <c r="U15"/>
  <c r="U112"/>
  <c r="S15"/>
  <c r="S112"/>
  <c r="N112"/>
  <c r="R13" i="126"/>
  <c r="T13" s="1"/>
  <c r="S12" i="125"/>
  <c r="U12" s="1"/>
  <c r="X12" s="1"/>
  <c r="Z12" s="1"/>
  <c r="AA12" s="1"/>
  <c r="AA17" s="1"/>
  <c r="Y83" i="123"/>
  <c r="AA83" s="1"/>
  <c r="X83"/>
  <c r="AB83" s="1"/>
  <c r="V50"/>
  <c r="Y50" s="1"/>
  <c r="AA50" s="1"/>
  <c r="R18"/>
  <c r="P14" i="126"/>
  <c r="R14" s="1"/>
  <c r="T14" s="1"/>
  <c r="R29" i="120"/>
  <c r="T29"/>
  <c r="V29" s="1"/>
  <c r="P16" i="126"/>
  <c r="R16" s="1"/>
  <c r="T16" s="1"/>
  <c r="R11" i="120"/>
  <c r="X52"/>
  <c r="AB52" s="1"/>
  <c r="AA13" i="124"/>
  <c r="AB64" i="120"/>
  <c r="T11"/>
  <c r="T18" i="123"/>
  <c r="V18" s="1"/>
  <c r="X13" i="120"/>
  <c r="R15"/>
  <c r="T15" s="1"/>
  <c r="V15" s="1"/>
  <c r="Q63" i="124"/>
  <c r="S63"/>
  <c r="U63" s="1"/>
  <c r="V11" i="120"/>
  <c r="X11"/>
  <c r="AB11" s="1"/>
  <c r="Y11"/>
  <c r="AA11" s="1"/>
  <c r="K88" i="123"/>
  <c r="N57"/>
  <c r="S57"/>
  <c r="N88"/>
  <c r="U57"/>
  <c r="U88"/>
  <c r="Q57"/>
  <c r="Q88"/>
  <c r="O57"/>
  <c r="O88"/>
  <c r="P57"/>
  <c r="R57"/>
  <c r="T57"/>
  <c r="V57"/>
  <c r="Y57" s="1"/>
  <c r="AA57" s="1"/>
  <c r="X57"/>
  <c r="AB57" s="1"/>
  <c r="X29" i="120" l="1"/>
  <c r="Y29"/>
  <c r="AA29" s="1"/>
  <c r="W14" i="126"/>
  <c r="Y14" s="1"/>
  <c r="V14"/>
  <c r="Z14" s="1"/>
  <c r="W13"/>
  <c r="Y13" s="1"/>
  <c r="V13"/>
  <c r="Z13" s="1"/>
  <c r="Y75" i="123"/>
  <c r="AA75" s="1"/>
  <c r="X75"/>
  <c r="AB75" s="1"/>
  <c r="Y48"/>
  <c r="AA48" s="1"/>
  <c r="X48"/>
  <c r="AB48" s="1"/>
  <c r="W18" i="126"/>
  <c r="Y18" s="1"/>
  <c r="V18"/>
  <c r="Z18" s="1"/>
  <c r="W17"/>
  <c r="Y17" s="1"/>
  <c r="V17"/>
  <c r="Z17" s="1"/>
  <c r="Z19" i="127"/>
  <c r="AA14"/>
  <c r="Y90" i="120"/>
  <c r="AA90" s="1"/>
  <c r="X90"/>
  <c r="AB90" s="1"/>
  <c r="Y87" i="123"/>
  <c r="AA87" s="1"/>
  <c r="X87"/>
  <c r="AB87" s="1"/>
  <c r="X63" i="124"/>
  <c r="W63"/>
  <c r="Y15" i="120"/>
  <c r="AA15" s="1"/>
  <c r="X15"/>
  <c r="AB15" s="1"/>
  <c r="X18" i="123"/>
  <c r="Y18"/>
  <c r="AA18" s="1"/>
  <c r="W16" i="126"/>
  <c r="Y16" s="1"/>
  <c r="V16"/>
  <c r="Z16" s="1"/>
  <c r="Y41" i="123"/>
  <c r="AA41" s="1"/>
  <c r="X41"/>
  <c r="AB41" s="1"/>
  <c r="Y108" i="120"/>
  <c r="AA108" s="1"/>
  <c r="X108"/>
  <c r="AB108" s="1"/>
  <c r="W12" i="126"/>
  <c r="Y12" s="1"/>
  <c r="V12"/>
  <c r="Z12" s="1"/>
  <c r="Y54" i="123"/>
  <c r="AA54" s="1"/>
  <c r="X54"/>
  <c r="AB54" s="1"/>
  <c r="Y27"/>
  <c r="AA27" s="1"/>
  <c r="X27"/>
  <c r="AB27" s="1"/>
  <c r="W18" i="124"/>
  <c r="X18"/>
  <c r="Z18" s="1"/>
  <c r="Y106" i="120"/>
  <c r="AA106" s="1"/>
  <c r="X106"/>
  <c r="AB106" s="1"/>
  <c r="Y103"/>
  <c r="AA103" s="1"/>
  <c r="X103"/>
  <c r="AB103" s="1"/>
  <c r="X12" i="123"/>
  <c r="Y12"/>
  <c r="Y78"/>
  <c r="AA78" s="1"/>
  <c r="X78"/>
  <c r="Y42"/>
  <c r="AA42" s="1"/>
  <c r="X42"/>
  <c r="Y53"/>
  <c r="AA53" s="1"/>
  <c r="X53"/>
  <c r="X56"/>
  <c r="AB56" s="1"/>
  <c r="Y56"/>
  <c r="AA56" s="1"/>
  <c r="X71"/>
  <c r="AB71" s="1"/>
  <c r="Y71"/>
  <c r="AA71" s="1"/>
  <c r="X14" i="124"/>
  <c r="Z14" s="1"/>
  <c r="W14"/>
  <c r="W12"/>
  <c r="AA12" s="1"/>
  <c r="X12"/>
  <c r="Z12" s="1"/>
  <c r="O64"/>
  <c r="N69"/>
  <c r="W11"/>
  <c r="X11"/>
  <c r="X65"/>
  <c r="Z65" s="1"/>
  <c r="W65"/>
  <c r="Y24" i="120"/>
  <c r="AA24" s="1"/>
  <c r="X24"/>
  <c r="P12"/>
  <c r="O112"/>
  <c r="Y54"/>
  <c r="AA54" s="1"/>
  <c r="X54"/>
  <c r="Y100"/>
  <c r="AA100" s="1"/>
  <c r="X100"/>
  <c r="X63"/>
  <c r="AB63" s="1"/>
  <c r="Y63"/>
  <c r="AA63" s="1"/>
  <c r="Y78"/>
  <c r="AA78" s="1"/>
  <c r="X78"/>
  <c r="Y62"/>
  <c r="AA62" s="1"/>
  <c r="X62"/>
  <c r="Y14"/>
  <c r="AA14" s="1"/>
  <c r="X14"/>
  <c r="X61"/>
  <c r="AB61" s="1"/>
  <c r="Y61"/>
  <c r="AA61" s="1"/>
  <c r="Y20" i="123"/>
  <c r="AA20" s="1"/>
  <c r="X20"/>
  <c r="Q15" i="127"/>
  <c r="O19"/>
  <c r="X20" i="124"/>
  <c r="Z20" s="1"/>
  <c r="W20"/>
  <c r="X15"/>
  <c r="Z15" s="1"/>
  <c r="W15"/>
  <c r="X19"/>
  <c r="Z19" s="1"/>
  <c r="W19"/>
  <c r="Y57" i="120"/>
  <c r="AA57" s="1"/>
  <c r="X57"/>
  <c r="Y22"/>
  <c r="AA22" s="1"/>
  <c r="X22"/>
  <c r="Y102"/>
  <c r="AA102" s="1"/>
  <c r="X102"/>
  <c r="Y66"/>
  <c r="AA66" s="1"/>
  <c r="X66"/>
  <c r="X48"/>
  <c r="AB48" s="1"/>
  <c r="Y48"/>
  <c r="AA48" s="1"/>
  <c r="Y89"/>
  <c r="AA89" s="1"/>
  <c r="X89"/>
  <c r="X84"/>
  <c r="AB84" s="1"/>
  <c r="Y84"/>
  <c r="AA84" s="1"/>
  <c r="Y26"/>
  <c r="AA26" s="1"/>
  <c r="X26"/>
  <c r="Y72" i="123"/>
  <c r="AA72" s="1"/>
  <c r="X72"/>
  <c r="Y44"/>
  <c r="AA44" s="1"/>
  <c r="X44"/>
  <c r="Y14"/>
  <c r="AA14" s="1"/>
  <c r="X14"/>
  <c r="T20" i="126"/>
  <c r="AB45" i="120"/>
  <c r="AB65"/>
  <c r="P88" i="123"/>
  <c r="X50"/>
  <c r="AB50" s="1"/>
  <c r="X104" i="120"/>
  <c r="AB104" s="1"/>
  <c r="X23" i="123"/>
  <c r="AB23" s="1"/>
  <c r="AB68" i="120"/>
  <c r="R77" i="123"/>
  <c r="T77" s="1"/>
  <c r="V77" s="1"/>
  <c r="AB76"/>
  <c r="W11" i="126"/>
  <c r="AB82" i="120"/>
  <c r="W16" i="124"/>
  <c r="AA16" s="1"/>
  <c r="X29"/>
  <c r="Z29" s="1"/>
  <c r="AA29" s="1"/>
  <c r="Y31" i="120"/>
  <c r="AA31" s="1"/>
  <c r="AB31" s="1"/>
  <c r="W17" i="124"/>
  <c r="AA17" s="1"/>
  <c r="R69"/>
  <c r="AB34" i="120"/>
  <c r="Y47"/>
  <c r="AA47" s="1"/>
  <c r="AB47" s="1"/>
  <c r="T79"/>
  <c r="V79" s="1"/>
  <c r="T105"/>
  <c r="V105" s="1"/>
  <c r="T56"/>
  <c r="V56" s="1"/>
  <c r="V49"/>
  <c r="T60"/>
  <c r="V60" s="1"/>
  <c r="T44"/>
  <c r="V44" s="1"/>
  <c r="V74" i="123"/>
  <c r="T49"/>
  <c r="V49" s="1"/>
  <c r="V55"/>
  <c r="V85"/>
  <c r="AB82"/>
  <c r="T101" i="120"/>
  <c r="V101" s="1"/>
  <c r="T109"/>
  <c r="V109" s="1"/>
  <c r="P19" i="126"/>
  <c r="R19" s="1"/>
  <c r="T19" s="1"/>
  <c r="T47" i="123"/>
  <c r="V47" s="1"/>
  <c r="R25"/>
  <c r="T25" s="1"/>
  <c r="V25" s="1"/>
  <c r="R16"/>
  <c r="T16" s="1"/>
  <c r="V16" s="1"/>
  <c r="V88" s="1"/>
  <c r="R21"/>
  <c r="T21" s="1"/>
  <c r="V21" s="1"/>
  <c r="R73"/>
  <c r="T73" s="1"/>
  <c r="V73" s="1"/>
  <c r="R110" i="120"/>
  <c r="T110" s="1"/>
  <c r="V110" s="1"/>
  <c r="R19" i="127"/>
  <c r="Y21" i="123" l="1"/>
  <c r="AA21" s="1"/>
  <c r="X21"/>
  <c r="AB21" s="1"/>
  <c r="Y25"/>
  <c r="AA25" s="1"/>
  <c r="X25"/>
  <c r="AB25" s="1"/>
  <c r="W19" i="126"/>
  <c r="Y19" s="1"/>
  <c r="V19"/>
  <c r="Z19" s="1"/>
  <c r="X101" i="120"/>
  <c r="Y101"/>
  <c r="AA101" s="1"/>
  <c r="Y85" i="123"/>
  <c r="AA85" s="1"/>
  <c r="X85"/>
  <c r="AB85" s="1"/>
  <c r="X49"/>
  <c r="Y49"/>
  <c r="AA49" s="1"/>
  <c r="Y44" i="120"/>
  <c r="AA44" s="1"/>
  <c r="X44"/>
  <c r="AB44" s="1"/>
  <c r="X49"/>
  <c r="Y49"/>
  <c r="AA49" s="1"/>
  <c r="Y105"/>
  <c r="AA105" s="1"/>
  <c r="X105"/>
  <c r="AB105" s="1"/>
  <c r="Y11" i="126"/>
  <c r="X77" i="123"/>
  <c r="Y77"/>
  <c r="AA77" s="1"/>
  <c r="Z11" i="124"/>
  <c r="Z35" s="1"/>
  <c r="X35"/>
  <c r="Z63"/>
  <c r="T88" i="123"/>
  <c r="AB14"/>
  <c r="AB44"/>
  <c r="AB72"/>
  <c r="AB26" i="120"/>
  <c r="AB89"/>
  <c r="AB66"/>
  <c r="AB102"/>
  <c r="AB22"/>
  <c r="AB57"/>
  <c r="AA19" i="124"/>
  <c r="AA15"/>
  <c r="AA20"/>
  <c r="AB20" i="123"/>
  <c r="AB14" i="120"/>
  <c r="AB62"/>
  <c r="AB78"/>
  <c r="AB100"/>
  <c r="AB54"/>
  <c r="AB24"/>
  <c r="AA65" i="124"/>
  <c r="AA14"/>
  <c r="AB53" i="123"/>
  <c r="AB42"/>
  <c r="AB78"/>
  <c r="AA18" i="124"/>
  <c r="AB18" i="123"/>
  <c r="AB29" i="120"/>
  <c r="Y110"/>
  <c r="AA110" s="1"/>
  <c r="X110"/>
  <c r="AB110" s="1"/>
  <c r="Y73" i="123"/>
  <c r="AA73" s="1"/>
  <c r="X73"/>
  <c r="AB73" s="1"/>
  <c r="X16"/>
  <c r="Y16"/>
  <c r="AA16" s="1"/>
  <c r="X47"/>
  <c r="Y47"/>
  <c r="AA47" s="1"/>
  <c r="X109" i="120"/>
  <c r="Y109"/>
  <c r="AA109" s="1"/>
  <c r="Y55" i="123"/>
  <c r="AA55" s="1"/>
  <c r="X55"/>
  <c r="AB55" s="1"/>
  <c r="Y74"/>
  <c r="AA74" s="1"/>
  <c r="X74"/>
  <c r="AB74" s="1"/>
  <c r="Y60" i="120"/>
  <c r="AA60" s="1"/>
  <c r="X60"/>
  <c r="AB60" s="1"/>
  <c r="X56"/>
  <c r="Y56"/>
  <c r="AA56" s="1"/>
  <c r="Y79"/>
  <c r="AA79" s="1"/>
  <c r="X79"/>
  <c r="AB79" s="1"/>
  <c r="W20" i="126"/>
  <c r="Y20" s="1"/>
  <c r="V20"/>
  <c r="Z20" s="1"/>
  <c r="S15" i="127"/>
  <c r="Q19"/>
  <c r="R12" i="120"/>
  <c r="P112"/>
  <c r="W35" i="124"/>
  <c r="AA11"/>
  <c r="AA35" s="1"/>
  <c r="Q64"/>
  <c r="O69"/>
  <c r="AA12" i="123"/>
  <c r="AA88" s="1"/>
  <c r="Y88"/>
  <c r="AA63" i="124"/>
  <c r="R88" i="123"/>
  <c r="S64" i="124" l="1"/>
  <c r="Q69"/>
  <c r="T12" i="120"/>
  <c r="R112"/>
  <c r="U15" i="127"/>
  <c r="S19"/>
  <c r="Y23" i="126"/>
  <c r="Z11"/>
  <c r="Z23" s="1"/>
  <c r="AB56" i="120"/>
  <c r="AB109"/>
  <c r="AB47" i="123"/>
  <c r="AB16"/>
  <c r="AB12"/>
  <c r="AB77"/>
  <c r="AB49" i="120"/>
  <c r="AB49" i="123"/>
  <c r="AB101" i="120"/>
  <c r="X88" i="123"/>
  <c r="W23" i="126"/>
  <c r="U19" i="127" l="1"/>
  <c r="W15"/>
  <c r="V12" i="120"/>
  <c r="T112"/>
  <c r="S69" i="124"/>
  <c r="U64"/>
  <c r="AB88" i="123"/>
  <c r="Y12" i="120" l="1"/>
  <c r="X12"/>
  <c r="V112"/>
  <c r="X64" i="124"/>
  <c r="W64"/>
  <c r="U69"/>
  <c r="AA15" i="127"/>
  <c r="AA19" s="1"/>
  <c r="W19"/>
  <c r="W69" i="124" l="1"/>
  <c r="AA12" i="120"/>
  <c r="AA112" s="1"/>
  <c r="Y112"/>
  <c r="Z64" i="124"/>
  <c r="Z69" s="1"/>
  <c r="X69"/>
  <c r="X112" i="120"/>
  <c r="AB12"/>
  <c r="AB112" s="1"/>
  <c r="AA64" i="124" l="1"/>
  <c r="AA69" s="1"/>
</calcChain>
</file>

<file path=xl/sharedStrings.xml><?xml version="1.0" encoding="utf-8"?>
<sst xmlns="http://schemas.openxmlformats.org/spreadsheetml/2006/main" count="981" uniqueCount="321">
  <si>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</si>
  <si>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</si>
  <si>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</si>
  <si>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</si>
  <si>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</si>
  <si>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</si>
  <si>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</si>
  <si>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</si>
  <si>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</si>
  <si>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</si>
  <si>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</si>
  <si>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</si>
  <si>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</si>
  <si>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</si>
  <si>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</si>
  <si>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</si>
  <si>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</si>
  <si>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</si>
  <si>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</si>
  <si>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</si>
  <si>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</si>
  <si>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</si>
  <si>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</si>
  <si>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</si>
  <si>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</si>
  <si>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</si>
  <si>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</si>
  <si>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</si>
  <si>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</si>
  <si>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</si>
  <si>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</si>
  <si>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</si>
  <si>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</si>
  <si>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</si>
  <si>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</si>
  <si>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</si>
  <si>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</si>
  <si>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</si>
  <si>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</si>
  <si>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</si>
  <si>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</si>
  <si>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</si>
  <si>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</si>
  <si>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</si>
  <si>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</si>
  <si>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</si>
  <si>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</si>
  <si>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</si>
  <si>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</si>
  <si>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</si>
  <si>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</si>
  <si>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</si>
  <si>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</si>
  <si>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</si>
  <si>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</si>
  <si>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</si>
  <si>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</si>
  <si>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</si>
  <si>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</si>
  <si>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</si>
  <si>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</si>
  <si>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</si>
  <si>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</si>
  <si>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</si>
  <si>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</si>
  <si>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</si>
  <si>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</si>
  <si>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</si>
  <si>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</si>
  <si>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</si>
  <si>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</si>
  <si>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</si>
  <si>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</si>
  <si>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</si>
  <si>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</si>
  <si>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</si>
  <si>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</si>
  <si>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</si>
  <si>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SECRETARIO GENERAL</t>
  </si>
  <si>
    <t>PRESIDENCIA MUNICIPAL</t>
  </si>
  <si>
    <t>DIRECCION DE REGISTRO CIVIL</t>
  </si>
  <si>
    <t>RUIZ ACEVES BERENICE</t>
  </si>
  <si>
    <t>DIR.REGISTRO CIVIL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</si>
  <si>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</si>
  <si>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</si>
  <si>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</si>
  <si>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</si>
  <si>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</si>
  <si>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</si>
  <si>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</si>
  <si>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</si>
  <si>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</si>
  <si>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DIR.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</si>
  <si>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</si>
  <si>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</si>
  <si>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</si>
  <si>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</si>
  <si>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</si>
  <si>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</si>
  <si>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</si>
  <si>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</si>
  <si>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</si>
  <si>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</si>
  <si>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</si>
  <si>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</si>
  <si>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</si>
  <si>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</si>
  <si>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</si>
  <si>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</si>
  <si>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</si>
  <si>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</si>
  <si>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</si>
  <si>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</si>
  <si>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</si>
  <si>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</si>
  <si>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</si>
  <si>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</si>
  <si>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</si>
  <si>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</si>
  <si>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</si>
  <si>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</si>
  <si>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</si>
  <si>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</si>
  <si>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RODRIGUEZ GARCIA MA. GUADALUPE</t>
  </si>
  <si>
    <t>MEZA NUÑEZ MARIELA</t>
  </si>
  <si>
    <t>AUX.DE SERVICIOS</t>
  </si>
  <si>
    <t>RIVERA LOPEZ ERASMO</t>
  </si>
  <si>
    <t>RODRIGUEZ PEREZ ROBERTO</t>
  </si>
  <si>
    <t>DEPTO. DE PARQUE Y JARDINES</t>
  </si>
  <si>
    <t>RAMIREZ CURIEL ELIDIA</t>
  </si>
  <si>
    <t>AUX DE INTENDENCIA</t>
  </si>
  <si>
    <t>DEPTO. DE TURISMO Y DEPORTES</t>
  </si>
  <si>
    <t>DOMINGUEZ OCAMPO ANTONIO</t>
  </si>
  <si>
    <t>CRONISTA</t>
  </si>
  <si>
    <t>SEGURIDAD PUBLICA</t>
  </si>
  <si>
    <t>DIRECTOR</t>
  </si>
  <si>
    <t>POLICIA DE LINEA</t>
  </si>
  <si>
    <t>COMANDANTE</t>
  </si>
  <si>
    <t>NUÑO SANTIAGO GENOVEVA</t>
  </si>
  <si>
    <t>ENC. DE MERCADO</t>
  </si>
  <si>
    <t>RUIZ MONTES PEDRO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</si>
  <si>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</si>
  <si>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</si>
  <si>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</si>
  <si>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</si>
  <si>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</si>
  <si>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</si>
  <si>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</si>
  <si>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</si>
  <si>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REGIDOR</t>
  </si>
  <si>
    <t xml:space="preserve">SINDICO </t>
  </si>
  <si>
    <t>RAMIREZ ROJAS JOSE LUIS</t>
  </si>
  <si>
    <t xml:space="preserve">AUX. DEL REGISTRO CIVIL </t>
  </si>
  <si>
    <t>PERSONAL SUPERNUMERIARIO</t>
  </si>
  <si>
    <t>DEPTO.DE MANTO.DE VEHICULOS</t>
  </si>
  <si>
    <t>AUX. DE PART. CIUDADANA</t>
  </si>
  <si>
    <t>MONTES GAMBOA CECILIO</t>
  </si>
  <si>
    <t>OFICIAL MAYOR DE PADRON.</t>
  </si>
  <si>
    <t>VALLE BARRIENTOS HERIBERTO</t>
  </si>
  <si>
    <t>MORALES QUINTANAR JOSE LUIS</t>
  </si>
  <si>
    <t>MONTES MONTES JORGE LUIS</t>
  </si>
  <si>
    <t>SECRETARIO PARTICULAR</t>
  </si>
  <si>
    <t>RECEPCIONISTA</t>
  </si>
  <si>
    <t>PERSONAL SUPERNUMERARIO</t>
  </si>
  <si>
    <t xml:space="preserve">OFICIALIA MAYOR </t>
  </si>
  <si>
    <t>CONSERJE</t>
  </si>
  <si>
    <t>RAMIREZ PEREZ ISAAC</t>
  </si>
  <si>
    <t>HERNANDEZ GARCIA AGUSTIN</t>
  </si>
  <si>
    <t>RAMIREZ FLORES EVA</t>
  </si>
  <si>
    <t>ENC. UNIDAD DEPORTIVA</t>
  </si>
  <si>
    <t>DIRECCION DE PART. CIUDADANA</t>
  </si>
  <si>
    <t>RAMIREZ MEZA JOSE LUIS</t>
  </si>
  <si>
    <t>ENC. DE BOMBA SN PEDRO</t>
  </si>
  <si>
    <t>AUX.DE INTENDENCIA SN PEDRO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</si>
  <si>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</si>
  <si>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</si>
  <si>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</si>
  <si>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</si>
  <si>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</si>
  <si>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</si>
  <si>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</si>
  <si>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</si>
  <si>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</si>
  <si>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</si>
  <si>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</si>
  <si>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</si>
  <si>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</si>
  <si>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</si>
  <si>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DEPTO. DE CULTURA Y EDUCACION</t>
  </si>
  <si>
    <t>RUIZ CARRILLO JORGE</t>
  </si>
  <si>
    <t>NAVARRO CAMACHO ARMANDO</t>
  </si>
  <si>
    <t>AUXILIAR DE SERVICIOS</t>
  </si>
  <si>
    <t>MERCADO OLVERA JOSE ANTONIO</t>
  </si>
  <si>
    <t>CARRILLO MONTES JOSE LUIS</t>
  </si>
  <si>
    <t>SALA DE REGIDORES</t>
  </si>
  <si>
    <t>MENDEZ GARCIA BEATRIZ</t>
  </si>
  <si>
    <t>VELADOR GARCIA MARIA ERICA</t>
  </si>
  <si>
    <t>FLORES ALVAREZ IRMA</t>
  </si>
  <si>
    <t>DEPARTAMENTO JURIDICO Y JUZGADO</t>
  </si>
  <si>
    <t>RAMIREZ OROZCO ALEJANDRA</t>
  </si>
  <si>
    <t>UNIDAD DE TRANSPARENCIA</t>
  </si>
  <si>
    <t>TITULAR</t>
  </si>
  <si>
    <t>LOPEZ BARAJAS JOSE MARTIN</t>
  </si>
  <si>
    <t>MEZA RUBIO JORGE HUMBERTO</t>
  </si>
  <si>
    <t>MOLINA SANDOVAL MELISSA ISABEL</t>
  </si>
  <si>
    <t>CARDONA GLEZ JABAL JAFET</t>
  </si>
  <si>
    <t>CORONA GLEZ NOEMI JOHANA</t>
  </si>
  <si>
    <t>RENTERIA ZUÑIGA JOSE</t>
  </si>
  <si>
    <t>DIR SERVICIOS MED.</t>
  </si>
  <si>
    <t>NAVARRO CAMARENA ESPERANZA</t>
  </si>
  <si>
    <t>GARCIA MELENDREZ IGNACIO</t>
  </si>
  <si>
    <t>GOMEZ MEZA ANA NALLELI</t>
  </si>
  <si>
    <t>AUX DE TRANSPARENCIA</t>
  </si>
  <si>
    <t>JUAREZ VALDERRAMA SONIA</t>
  </si>
  <si>
    <t>SERVICIOS PUBLICOS</t>
  </si>
  <si>
    <t>GARCIA CABRERA JOSE FABIAN</t>
  </si>
  <si>
    <t>LOPEZ GARCIA IVAN</t>
  </si>
  <si>
    <t>ENC. ECA</t>
  </si>
  <si>
    <t>RAMOS VELADOR LAZARO</t>
  </si>
  <si>
    <t>DEPARTAMENTO DE SERVICIOS</t>
  </si>
  <si>
    <t>RAMIREZ MARTINEZ JOSE CARMEN</t>
  </si>
  <si>
    <t>OPERADOR DE MAQUINA</t>
  </si>
  <si>
    <t>COVARRUBIAS RIVERA ROMAN</t>
  </si>
  <si>
    <t>RAMIREZ ARELLANO J JESUS</t>
  </si>
  <si>
    <t>MERCADO PEREZ LUIS HUMBERTO</t>
  </si>
  <si>
    <t>GUERRERO GARICA RAFAEL</t>
  </si>
  <si>
    <t>SERRATOS VALADEZ FILIBERTO</t>
  </si>
  <si>
    <t>ENC BOMBA</t>
  </si>
  <si>
    <t>AVILA RODRIGUEZ IRIS MARIELA</t>
  </si>
  <si>
    <t xml:space="preserve">DIR. CATASTRO E IMPUESTO </t>
  </si>
  <si>
    <t>REGALADO SIERRA CARLOS ARMANDO</t>
  </si>
  <si>
    <t>SANCHEZ GONZALEZ JOSE ANTONIO</t>
  </si>
  <si>
    <t>ZUÑIGA DOMINGUEZ OSCAR</t>
  </si>
  <si>
    <t>DAMIAN LOZANO MARIO</t>
  </si>
  <si>
    <t xml:space="preserve">VELADOR </t>
  </si>
  <si>
    <t>o (A Favor)</t>
  </si>
  <si>
    <t>NOMBRE DE LA PLAZA</t>
  </si>
  <si>
    <t>JOSE ANTONIO SANCHEZ GONZALEZ</t>
  </si>
  <si>
    <t>MELISSA ISABEL MOLINA SANDOVAL</t>
  </si>
  <si>
    <t xml:space="preserve">       ENC. DE LA HACIENDA MPAL.</t>
  </si>
  <si>
    <t>ISR Sueldos y Salarios</t>
  </si>
  <si>
    <t>Departamento:</t>
  </si>
  <si>
    <t>Regidores</t>
  </si>
  <si>
    <t>PEREZ SERRATOS ISABEL</t>
  </si>
  <si>
    <t>AGENTE MUNCIPAL  PROVIDENCIA</t>
  </si>
  <si>
    <t>ALBA CORDOBA BENJAMIN</t>
  </si>
  <si>
    <t>SOLORZANO LOPEZ CARLOS ALBERTO</t>
  </si>
  <si>
    <t>AGENTE MUNCIPAL TRAPICHE</t>
  </si>
  <si>
    <t>AMAYA RAMOS YANETH</t>
  </si>
  <si>
    <t>AGENTE MUNCIPAL EL AZAFRAN</t>
  </si>
  <si>
    <t>AGENTE MUNCIPAL ESTANCIA DE AYLLONES</t>
  </si>
  <si>
    <t>SOTO HERNANEDEZ J. REFUGIO</t>
  </si>
  <si>
    <t>________________________________________</t>
  </si>
  <si>
    <t>_____________________________________</t>
  </si>
  <si>
    <t>____________________________________</t>
  </si>
  <si>
    <t>___________________________________</t>
  </si>
  <si>
    <t>______________________________</t>
  </si>
  <si>
    <t>DEPARTAMENTO DE OBRAS PUBLICAS</t>
  </si>
  <si>
    <t>JAIRO ALEJANDRO LEPE LOPEZ</t>
  </si>
  <si>
    <t>MARIA FELIX ORENDAIN DAMIAN</t>
  </si>
  <si>
    <t>ABRAHAM EMMANUEL AVILA RAMIREZ</t>
  </si>
  <si>
    <t>DELIA NORA RANGEL ROSAS</t>
  </si>
  <si>
    <t>SANDRA REYNOSO RUVALCABA</t>
  </si>
  <si>
    <t>JUAN DAVID GARCIA LOPEZ</t>
  </si>
  <si>
    <t>ARMANDO MEZA AVILA</t>
  </si>
  <si>
    <t>ERNESTO CARRILLO MONTES</t>
  </si>
  <si>
    <t>RAFAEL RUBIO AYON</t>
  </si>
  <si>
    <t>PEDRO MIRAMONTES LOPEZ</t>
  </si>
  <si>
    <t>PROTECCION CIVIL</t>
  </si>
  <si>
    <t>OSCAR MARTIN ZUÑIGA GARCIA</t>
  </si>
  <si>
    <t>ENC DE PROTECCION CIVIL</t>
  </si>
  <si>
    <t>ARTURO JONATHAN RAMIREZ DE LA ROSA</t>
  </si>
  <si>
    <t>PARAMEDICO P C</t>
  </si>
  <si>
    <t>RODRIGUEZ GONZALEZ ANA BERTA</t>
  </si>
  <si>
    <t>HERNANDEZ BERNAL JUDITH TONANZI</t>
  </si>
  <si>
    <t>AUXILIAR DE OFICIALIA MAYOR ADMVO.</t>
  </si>
  <si>
    <t>SERVICIOS MEDICOS MUNICIPALES</t>
  </si>
  <si>
    <t>SECRETARIA GENERAL</t>
  </si>
  <si>
    <t xml:space="preserve">ENC. DE PANTEON </t>
  </si>
  <si>
    <t>HERNANDEZ MUÑOZ FERNANDO</t>
  </si>
  <si>
    <t>CERVANTES MEZA MANUEL</t>
  </si>
  <si>
    <t>GUTIERREZ MORALES ALVARO</t>
  </si>
  <si>
    <t>CARBAJAL MONTES OLIVIA</t>
  </si>
  <si>
    <t>BAUTISTA GONZALEZ ALICIA</t>
  </si>
  <si>
    <t>L.A.E. MELISSA ISABEL MOLINA SANDOVAL</t>
  </si>
  <si>
    <t>HERNANDEZ FLORES REYNA ELIZABETH</t>
  </si>
  <si>
    <t>ENC. DE BIBLIOTECA</t>
  </si>
  <si>
    <t>HERNANDEZ JIMENEZ JUAN MANUEL</t>
  </si>
  <si>
    <t>RIVAS RIVAS SALVADOR</t>
  </si>
  <si>
    <t>GONZALEZ RODRIGUEZ BLANCA ESTELA</t>
  </si>
  <si>
    <t>GONZALEZ CORTES HERLINDA</t>
  </si>
  <si>
    <t>NAVARRO HUERTA CAROLNA</t>
  </si>
  <si>
    <t>ING. JOSE ANTONIO SANCHEZ GONZALEZ</t>
  </si>
  <si>
    <t>RODRIGO SANCHEZ SANTIAGO</t>
  </si>
  <si>
    <t>RAMIREZ GONZALEZ ADELA</t>
  </si>
  <si>
    <t>JUZGADO MUNICIPAL</t>
  </si>
  <si>
    <t>JUEZ</t>
  </si>
  <si>
    <t>ANDRADE CASTILLO JOSE ANTONIO</t>
  </si>
  <si>
    <t>MONTES GARCIA MARIA DE LOS ANGELES</t>
  </si>
  <si>
    <t>AUXILIAR ADMINISTRATIVO</t>
  </si>
  <si>
    <t>RAMOS PEREZ HIPOLITO MARTIN</t>
  </si>
  <si>
    <t>MATA MONTES ESTELA</t>
  </si>
  <si>
    <t>MA. GUADALUPE DURAN NUÑO</t>
  </si>
  <si>
    <t>RUVALCABA GARCIA HUMBERTO</t>
  </si>
  <si>
    <t>CARRILLO YAÑEZ JOSE ROBERTO</t>
  </si>
  <si>
    <t xml:space="preserve">SECRETARIA GENERAL </t>
  </si>
  <si>
    <t>CONTRALOR</t>
  </si>
  <si>
    <t xml:space="preserve">SECRETARIA </t>
  </si>
  <si>
    <t>ENC. DE PARADERO</t>
  </si>
  <si>
    <t>AUX. DE DEPORTES</t>
  </si>
  <si>
    <t>CORONEL HERRERA JORGE EDUARDO</t>
  </si>
  <si>
    <t>HECTOR FAVIAN ESPARZA MENDOZA</t>
  </si>
  <si>
    <t>AUXILIAR DE CATASTRO</t>
  </si>
  <si>
    <t>CRECENCIO TALAMANTES LLAMAS</t>
  </si>
  <si>
    <t>DIR. DE TURISMO Y EDUCACION</t>
  </si>
  <si>
    <t>MONTES PEREZ JULIA VERONICA</t>
  </si>
  <si>
    <t>SUELDOS 16 AL 30 DE NOVIEMBRE DE 2016</t>
  </si>
  <si>
    <t xml:space="preserve"> </t>
  </si>
  <si>
    <t>MARCO ANTONIO MEZA MEZA</t>
  </si>
  <si>
    <t>SUBDIRECTOR ADMINISTRATIVO</t>
  </si>
  <si>
    <t>BERENICE RUIZ ACEVES: LICENCIA  DEL 16 DE NOVIEMBRE 2016 AL 17 DE MAYO 2017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</si>
</sst>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(* #,##0.00_);_(* \(#,##0.00\);_(* &quot;-&quot;??_);_(@_)"/>
    <numFmt numFmtId="166" formatCode="_-[$€]* #,##0.00_-;\-[$€]* #,##0.00_-;_-[$€]* &quot;-&quot;??_-;_-@_-"/>
    <numFmt numFmtId="167" formatCode="General_)"/>
    <numFmt numFmtId="169" formatCode="#,##0.00_ ;[Red]\-#,##0.00\ "/>
    <numFmt numFmtId="170" formatCode="#,##0.00_ ;\-#,##0.00\ "/>
  </numFmts>
  <fonts count="2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Courier"/>
      <family val="3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69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5" fillId="0" borderId="0" xfId="0" applyFont="1" applyProtection="1"/>
    <xf numFmtId="0" fontId="1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0" fillId="0" borderId="1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fill"/>
    </xf>
    <xf numFmtId="0" fontId="10" fillId="0" borderId="0" xfId="0" applyFont="1" applyAlignment="1" applyProtection="1">
      <alignment horizontal="fill"/>
    </xf>
    <xf numFmtId="39" fontId="10" fillId="0" borderId="1" xfId="0" applyNumberFormat="1" applyFont="1" applyBorder="1" applyProtection="1"/>
    <xf numFmtId="10" fontId="10" fillId="0" borderId="1" xfId="0" applyNumberFormat="1" applyFont="1" applyBorder="1" applyProtection="1"/>
    <xf numFmtId="39" fontId="10" fillId="0" borderId="0" xfId="0" applyNumberFormat="1" applyFont="1" applyProtection="1"/>
    <xf numFmtId="39" fontId="10" fillId="0" borderId="2" xfId="0" applyNumberFormat="1" applyFont="1" applyBorder="1" applyProtection="1"/>
    <xf numFmtId="10" fontId="10" fillId="0" borderId="2" xfId="0" applyNumberFormat="1" applyFont="1" applyBorder="1" applyProtection="1"/>
    <xf numFmtId="0" fontId="10" fillId="0" borderId="2" xfId="0" applyFont="1" applyBorder="1" applyProtection="1"/>
    <xf numFmtId="0" fontId="12" fillId="0" borderId="0" xfId="0" applyFont="1" applyProtection="1"/>
    <xf numFmtId="0" fontId="11" fillId="0" borderId="0" xfId="0" applyFont="1" applyProtection="1">
      <protection locked="0"/>
    </xf>
    <xf numFmtId="39" fontId="10" fillId="0" borderId="1" xfId="0" applyNumberFormat="1" applyFont="1" applyBorder="1" applyProtection="1">
      <protection locked="0"/>
    </xf>
    <xf numFmtId="10" fontId="10" fillId="0" borderId="1" xfId="0" applyNumberFormat="1" applyFont="1" applyBorder="1" applyProtection="1">
      <protection locked="0"/>
    </xf>
    <xf numFmtId="39" fontId="10" fillId="0" borderId="1" xfId="0" applyNumberFormat="1" applyFont="1" applyFill="1" applyBorder="1" applyProtection="1">
      <protection locked="0"/>
    </xf>
    <xf numFmtId="0" fontId="13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6" fillId="0" borderId="0" xfId="0" applyFont="1" applyProtection="1"/>
    <xf numFmtId="169" fontId="7" fillId="0" borderId="8" xfId="2" applyNumberFormat="1" applyFont="1" applyBorder="1" applyAlignment="1" applyProtection="1">
      <alignment horizontal="right"/>
    </xf>
    <xf numFmtId="169" fontId="7" fillId="0" borderId="1" xfId="2" applyNumberFormat="1" applyFont="1" applyBorder="1" applyAlignment="1" applyProtection="1">
      <alignment horizontal="right"/>
    </xf>
    <xf numFmtId="169" fontId="7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9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70" fontId="1" fillId="0" borderId="9" xfId="2" applyNumberFormat="1" applyFont="1" applyBorder="1" applyAlignment="1" applyProtection="1">
      <alignment horizontal="right"/>
      <protection locked="0"/>
    </xf>
    <xf numFmtId="169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0" xfId="0" applyFont="1" applyFill="1" applyBorder="1" applyAlignment="1" applyProtection="1">
      <alignment horizontal="left"/>
      <protection locked="0"/>
    </xf>
    <xf numFmtId="169" fontId="2" fillId="0" borderId="0" xfId="0" applyNumberFormat="1" applyFont="1" applyProtection="1"/>
    <xf numFmtId="169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Fill="1" applyBorder="1" applyAlignment="1" applyProtection="1">
      <alignment horizontal="right"/>
    </xf>
    <xf numFmtId="169" fontId="1" fillId="0" borderId="0" xfId="2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Border="1" applyAlignment="1" applyProtection="1">
      <alignment horizontal="right"/>
    </xf>
    <xf numFmtId="169" fontId="1" fillId="2" borderId="0" xfId="2" applyNumberFormat="1" applyFont="1" applyFill="1" applyBorder="1" applyAlignment="1" applyProtection="1">
      <alignment horizontal="right"/>
    </xf>
    <xf numFmtId="10" fontId="1" fillId="2" borderId="0" xfId="4" applyNumberFormat="1" applyFont="1" applyFill="1" applyBorder="1" applyAlignment="1" applyProtection="1">
      <alignment horizontal="right"/>
    </xf>
    <xf numFmtId="43" fontId="1" fillId="0" borderId="0" xfId="2" applyFont="1" applyBorder="1" applyAlignment="1" applyProtection="1">
      <alignment horizontal="right"/>
    </xf>
    <xf numFmtId="170" fontId="1" fillId="0" borderId="0" xfId="2" applyNumberFormat="1" applyFont="1" applyBorder="1" applyAlignment="1" applyProtection="1">
      <alignment horizontal="right"/>
      <protection locked="0"/>
    </xf>
    <xf numFmtId="169" fontId="2" fillId="0" borderId="0" xfId="2" applyNumberFormat="1" applyFont="1" applyBorder="1" applyAlignment="1" applyProtection="1">
      <alignment horizontal="right"/>
    </xf>
    <xf numFmtId="0" fontId="1" fillId="0" borderId="0" xfId="0" applyFont="1" applyBorder="1" applyProtection="1"/>
    <xf numFmtId="169" fontId="19" fillId="0" borderId="9" xfId="2" applyNumberFormat="1" applyFont="1" applyBorder="1" applyAlignment="1" applyProtection="1">
      <alignment horizontal="right"/>
    </xf>
    <xf numFmtId="1" fontId="19" fillId="0" borderId="0" xfId="2" applyNumberFormat="1" applyFont="1" applyBorder="1" applyAlignment="1" applyProtection="1">
      <alignment horizontal="right"/>
    </xf>
    <xf numFmtId="2" fontId="19" fillId="0" borderId="0" xfId="2" applyNumberFormat="1" applyFont="1" applyFill="1" applyBorder="1" applyAlignment="1" applyProtection="1">
      <alignment horizontal="right"/>
    </xf>
    <xf numFmtId="43" fontId="19" fillId="0" borderId="9" xfId="2" applyFont="1" applyBorder="1" applyAlignment="1" applyProtection="1">
      <alignment horizontal="right"/>
    </xf>
    <xf numFmtId="0" fontId="7" fillId="4" borderId="3" xfId="0" applyFont="1" applyFill="1" applyBorder="1" applyAlignment="1" applyProtection="1">
      <alignment horizontal="center"/>
    </xf>
    <xf numFmtId="0" fontId="7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22" fillId="5" borderId="0" xfId="0" applyFont="1" applyFill="1" applyProtection="1"/>
    <xf numFmtId="0" fontId="3" fillId="4" borderId="11" xfId="0" applyFont="1" applyFill="1" applyBorder="1" applyAlignment="1" applyProtection="1">
      <alignment horizontal="center"/>
    </xf>
    <xf numFmtId="0" fontId="22" fillId="0" borderId="0" xfId="0" applyFont="1"/>
    <xf numFmtId="0" fontId="1" fillId="0" borderId="12" xfId="0" applyFont="1" applyBorder="1" applyAlignment="1" applyProtection="1">
      <alignment horizontal="center"/>
    </xf>
    <xf numFmtId="0" fontId="0" fillId="0" borderId="13" xfId="0" applyBorder="1" applyProtection="1"/>
    <xf numFmtId="0" fontId="0" fillId="0" borderId="14" xfId="0" applyBorder="1" applyProtection="1"/>
    <xf numFmtId="170" fontId="1" fillId="0" borderId="1" xfId="2" applyNumberFormat="1" applyFont="1" applyFill="1" applyBorder="1" applyAlignment="1" applyProtection="1">
      <alignment horizontal="right"/>
      <protection locked="0"/>
    </xf>
    <xf numFmtId="0" fontId="1" fillId="6" borderId="9" xfId="0" applyFont="1" applyFill="1" applyBorder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23" fillId="7" borderId="3" xfId="0" applyFont="1" applyFill="1" applyBorder="1" applyAlignment="1" applyProtection="1">
      <alignment horizontal="center"/>
    </xf>
    <xf numFmtId="0" fontId="24" fillId="7" borderId="1" xfId="0" applyFont="1" applyFill="1" applyBorder="1" applyAlignment="1" applyProtection="1">
      <alignment horizontal="center"/>
    </xf>
    <xf numFmtId="0" fontId="24" fillId="7" borderId="0" xfId="0" applyFont="1" applyFill="1" applyBorder="1" applyAlignment="1" applyProtection="1">
      <alignment horizontal="center"/>
    </xf>
    <xf numFmtId="0" fontId="24" fillId="7" borderId="3" xfId="0" applyFont="1" applyFill="1" applyBorder="1" applyAlignment="1" applyProtection="1">
      <alignment horizontal="center"/>
    </xf>
    <xf numFmtId="0" fontId="24" fillId="7" borderId="5" xfId="0" applyFont="1" applyFill="1" applyBorder="1" applyAlignment="1" applyProtection="1">
      <alignment horizontal="center"/>
    </xf>
    <xf numFmtId="0" fontId="24" fillId="7" borderId="6" xfId="0" applyFont="1" applyFill="1" applyBorder="1" applyAlignment="1" applyProtection="1">
      <alignment horizontal="center"/>
    </xf>
    <xf numFmtId="0" fontId="25" fillId="7" borderId="1" xfId="0" applyFont="1" applyFill="1" applyBorder="1" applyProtection="1"/>
    <xf numFmtId="0" fontId="23" fillId="7" borderId="4" xfId="0" applyFont="1" applyFill="1" applyBorder="1" applyAlignment="1" applyProtection="1">
      <alignment horizontal="center"/>
    </xf>
    <xf numFmtId="0" fontId="24" fillId="7" borderId="4" xfId="0" applyFont="1" applyFill="1" applyBorder="1" applyAlignment="1" applyProtection="1">
      <alignment horizontal="center"/>
    </xf>
    <xf numFmtId="0" fontId="25" fillId="7" borderId="4" xfId="0" applyFont="1" applyFill="1" applyBorder="1" applyProtection="1"/>
    <xf numFmtId="9" fontId="0" fillId="0" borderId="0" xfId="0" applyNumberFormat="1" applyProtection="1"/>
    <xf numFmtId="9" fontId="10" fillId="0" borderId="0" xfId="0" applyNumberFormat="1" applyFont="1" applyProtection="1"/>
    <xf numFmtId="43" fontId="24" fillId="7" borderId="1" xfId="2" applyFont="1" applyFill="1" applyBorder="1" applyAlignment="1" applyProtection="1">
      <alignment horizontal="center"/>
    </xf>
    <xf numFmtId="0" fontId="0" fillId="0" borderId="0" xfId="0" applyProtection="1">
      <protection hidden="1"/>
    </xf>
    <xf numFmtId="0" fontId="13" fillId="0" borderId="3" xfId="0" applyFont="1" applyBorder="1" applyProtection="1">
      <protection hidden="1"/>
    </xf>
    <xf numFmtId="0" fontId="24" fillId="7" borderId="3" xfId="0" applyFont="1" applyFill="1" applyBorder="1" applyAlignment="1" applyProtection="1">
      <alignment horizontal="center"/>
      <protection hidden="1"/>
    </xf>
    <xf numFmtId="0" fontId="24" fillId="7" borderId="0" xfId="0" applyFont="1" applyFill="1" applyBorder="1" applyAlignment="1" applyProtection="1">
      <alignment horizontal="center"/>
      <protection hidden="1"/>
    </xf>
    <xf numFmtId="0" fontId="24" fillId="7" borderId="4" xfId="0" applyFont="1" applyFill="1" applyBorder="1" applyAlignment="1" applyProtection="1">
      <alignment horizontal="center"/>
      <protection hidden="1"/>
    </xf>
    <xf numFmtId="0" fontId="0" fillId="0" borderId="3" xfId="0" applyBorder="1" applyProtection="1">
      <protection hidden="1"/>
    </xf>
    <xf numFmtId="0" fontId="3" fillId="0" borderId="1" xfId="0" applyFont="1" applyBorder="1" applyAlignment="1" applyProtection="1">
      <alignment horizontal="center"/>
      <protection hidden="1"/>
    </xf>
    <xf numFmtId="43" fontId="24" fillId="7" borderId="1" xfId="2" applyFont="1" applyFill="1" applyBorder="1" applyAlignment="1" applyProtection="1">
      <alignment horizontal="center"/>
      <protection hidden="1"/>
    </xf>
    <xf numFmtId="0" fontId="24" fillId="7" borderId="1" xfId="0" applyFont="1" applyFill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23" fillId="7" borderId="3" xfId="0" applyFont="1" applyFill="1" applyBorder="1" applyAlignment="1" applyProtection="1">
      <alignment horizontal="center"/>
      <protection hidden="1"/>
    </xf>
    <xf numFmtId="0" fontId="24" fillId="7" borderId="5" xfId="0" applyFont="1" applyFill="1" applyBorder="1" applyAlignment="1" applyProtection="1">
      <alignment horizontal="center"/>
      <protection hidden="1"/>
    </xf>
    <xf numFmtId="0" fontId="24" fillId="7" borderId="6" xfId="0" applyFont="1" applyFill="1" applyBorder="1" applyAlignment="1" applyProtection="1">
      <alignment horizontal="center"/>
      <protection hidden="1"/>
    </xf>
    <xf numFmtId="0" fontId="25" fillId="7" borderId="1" xfId="0" applyFont="1" applyFill="1" applyBorder="1" applyProtection="1">
      <protection hidden="1"/>
    </xf>
    <xf numFmtId="0" fontId="23" fillId="7" borderId="4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5" fillId="7" borderId="4" xfId="0" applyFont="1" applyFill="1" applyBorder="1" applyProtection="1"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2" xfId="0" applyFill="1" applyBorder="1" applyProtection="1">
      <protection hidden="1"/>
    </xf>
    <xf numFmtId="0" fontId="0" fillId="0" borderId="0" xfId="0" applyFill="1" applyProtection="1">
      <protection hidden="1"/>
    </xf>
    <xf numFmtId="2" fontId="1" fillId="0" borderId="9" xfId="0" applyNumberFormat="1" applyFont="1" applyBorder="1" applyAlignment="1" applyProtection="1">
      <alignment horizontal="right"/>
      <protection hidden="1"/>
    </xf>
    <xf numFmtId="169" fontId="1" fillId="0" borderId="9" xfId="2" applyNumberFormat="1" applyFont="1" applyFill="1" applyBorder="1" applyAlignment="1" applyProtection="1">
      <alignment horizontal="right"/>
      <protection hidden="1"/>
    </xf>
    <xf numFmtId="169" fontId="1" fillId="0" borderId="9" xfId="2" applyNumberFormat="1" applyFont="1" applyBorder="1" applyAlignment="1" applyProtection="1">
      <alignment horizontal="right"/>
      <protection hidden="1"/>
    </xf>
    <xf numFmtId="1" fontId="1" fillId="0" borderId="0" xfId="2" applyNumberFormat="1" applyFont="1" applyBorder="1" applyAlignment="1" applyProtection="1">
      <alignment horizontal="right"/>
      <protection hidden="1"/>
    </xf>
    <xf numFmtId="169" fontId="1" fillId="2" borderId="9" xfId="2" applyNumberFormat="1" applyFont="1" applyFill="1" applyBorder="1" applyAlignment="1" applyProtection="1">
      <alignment horizontal="right"/>
      <protection hidden="1"/>
    </xf>
    <xf numFmtId="10" fontId="1" fillId="2" borderId="9" xfId="4" applyNumberFormat="1" applyFont="1" applyFill="1" applyBorder="1" applyAlignment="1" applyProtection="1">
      <alignment horizontal="right"/>
      <protection hidden="1"/>
    </xf>
    <xf numFmtId="2" fontId="1" fillId="0" borderId="0" xfId="2" applyNumberFormat="1" applyFont="1" applyFill="1" applyBorder="1" applyAlignment="1" applyProtection="1">
      <alignment horizontal="right"/>
      <protection hidden="1"/>
    </xf>
    <xf numFmtId="43" fontId="1" fillId="0" borderId="9" xfId="2" applyFont="1" applyBorder="1" applyAlignment="1" applyProtection="1">
      <alignment horizontal="right"/>
      <protection hidden="1"/>
    </xf>
    <xf numFmtId="170" fontId="1" fillId="0" borderId="9" xfId="2" applyNumberFormat="1" applyFont="1" applyBorder="1" applyAlignment="1" applyProtection="1">
      <alignment horizontal="right"/>
      <protection hidden="1"/>
    </xf>
    <xf numFmtId="169" fontId="2" fillId="0" borderId="9" xfId="2" applyNumberFormat="1" applyFont="1" applyBorder="1" applyAlignment="1" applyProtection="1">
      <alignment horizontal="right"/>
      <protection hidden="1"/>
    </xf>
    <xf numFmtId="0" fontId="1" fillId="0" borderId="2" xfId="0" applyFont="1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2" fontId="1" fillId="0" borderId="0" xfId="0" applyNumberFormat="1" applyFont="1" applyBorder="1" applyAlignment="1" applyProtection="1">
      <alignment horizontal="right"/>
      <protection hidden="1"/>
    </xf>
    <xf numFmtId="169" fontId="1" fillId="0" borderId="0" xfId="2" applyNumberFormat="1" applyFont="1" applyFill="1" applyBorder="1" applyAlignment="1" applyProtection="1">
      <alignment horizontal="right"/>
      <protection hidden="1"/>
    </xf>
    <xf numFmtId="169" fontId="1" fillId="0" borderId="0" xfId="2" applyNumberFormat="1" applyFont="1" applyBorder="1" applyAlignment="1" applyProtection="1">
      <alignment horizontal="right"/>
      <protection hidden="1"/>
    </xf>
    <xf numFmtId="169" fontId="1" fillId="2" borderId="0" xfId="2" applyNumberFormat="1" applyFont="1" applyFill="1" applyBorder="1" applyAlignment="1" applyProtection="1">
      <alignment horizontal="right"/>
      <protection hidden="1"/>
    </xf>
    <xf numFmtId="10" fontId="1" fillId="2" borderId="0" xfId="4" applyNumberFormat="1" applyFont="1" applyFill="1" applyBorder="1" applyAlignment="1" applyProtection="1">
      <alignment horizontal="right"/>
      <protection hidden="1"/>
    </xf>
    <xf numFmtId="43" fontId="1" fillId="0" borderId="0" xfId="2" applyFont="1" applyBorder="1" applyAlignment="1" applyProtection="1">
      <alignment horizontal="right"/>
      <protection hidden="1"/>
    </xf>
    <xf numFmtId="170" fontId="1" fillId="0" borderId="0" xfId="2" applyNumberFormat="1" applyFont="1" applyBorder="1" applyAlignment="1" applyProtection="1">
      <alignment horizontal="right"/>
      <protection hidden="1"/>
    </xf>
    <xf numFmtId="169" fontId="2" fillId="0" borderId="0" xfId="2" applyNumberFormat="1" applyFont="1" applyBorder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0" fontId="26" fillId="7" borderId="1" xfId="0" applyFont="1" applyFill="1" applyBorder="1" applyAlignment="1" applyProtection="1">
      <alignment horizontal="center"/>
      <protection hidden="1"/>
    </xf>
    <xf numFmtId="0" fontId="24" fillId="7" borderId="2" xfId="0" applyFont="1" applyFill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center"/>
      <protection hidden="1"/>
    </xf>
    <xf numFmtId="1" fontId="2" fillId="0" borderId="7" xfId="2" applyNumberFormat="1" applyFont="1" applyBorder="1" applyAlignment="1" applyProtection="1">
      <alignment horizontal="right"/>
      <protection hidden="1"/>
    </xf>
    <xf numFmtId="1" fontId="2" fillId="0" borderId="0" xfId="2" applyNumberFormat="1" applyFont="1" applyBorder="1" applyAlignment="1" applyProtection="1">
      <alignment horizontal="right"/>
      <protection hidden="1"/>
    </xf>
    <xf numFmtId="1" fontId="2" fillId="0" borderId="7" xfId="2" applyNumberFormat="1" applyFont="1" applyFill="1" applyBorder="1" applyAlignment="1" applyProtection="1">
      <alignment horizontal="right"/>
      <protection hidden="1"/>
    </xf>
    <xf numFmtId="1" fontId="2" fillId="0" borderId="0" xfId="2" applyNumberFormat="1" applyFont="1" applyFill="1" applyBorder="1" applyAlignment="1" applyProtection="1">
      <alignment horizontal="right"/>
      <protection hidden="1"/>
    </xf>
    <xf numFmtId="169" fontId="7" fillId="0" borderId="8" xfId="2" applyNumberFormat="1" applyFont="1" applyBorder="1" applyAlignment="1" applyProtection="1">
      <alignment horizontal="right"/>
      <protection hidden="1"/>
    </xf>
    <xf numFmtId="169" fontId="7" fillId="0" borderId="1" xfId="2" applyNumberFormat="1" applyFont="1" applyBorder="1" applyAlignment="1" applyProtection="1">
      <alignment horizontal="right"/>
      <protection hidden="1"/>
    </xf>
    <xf numFmtId="169" fontId="7" fillId="2" borderId="8" xfId="2" applyNumberFormat="1" applyFont="1" applyFill="1" applyBorder="1" applyAlignment="1" applyProtection="1">
      <alignment horizontal="right"/>
      <protection hidden="1"/>
    </xf>
    <xf numFmtId="169" fontId="0" fillId="0" borderId="0" xfId="0" applyNumberFormat="1" applyProtection="1"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169" fontId="2" fillId="0" borderId="0" xfId="0" applyNumberFormat="1" applyFont="1" applyProtection="1">
      <protection hidden="1"/>
    </xf>
    <xf numFmtId="169" fontId="1" fillId="0" borderId="9" xfId="2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22" fillId="0" borderId="0" xfId="0" applyFont="1" applyProtection="1">
      <protection hidden="1"/>
    </xf>
    <xf numFmtId="0" fontId="0" fillId="0" borderId="4" xfId="0" applyBorder="1" applyProtection="1"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1" fillId="0" borderId="0" xfId="0" applyFont="1"/>
    <xf numFmtId="0" fontId="24" fillId="7" borderId="11" xfId="0" applyFont="1" applyFill="1" applyBorder="1" applyAlignment="1" applyProtection="1">
      <alignment horizontal="center"/>
      <protection hidden="1"/>
    </xf>
    <xf numFmtId="2" fontId="1" fillId="0" borderId="15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</xf>
    <xf numFmtId="169" fontId="1" fillId="0" borderId="1" xfId="2" applyNumberFormat="1" applyFont="1" applyBorder="1" applyAlignment="1" applyProtection="1">
      <alignment horizontal="right"/>
      <protection hidden="1"/>
    </xf>
    <xf numFmtId="43" fontId="1" fillId="0" borderId="1" xfId="2" applyFont="1" applyBorder="1" applyAlignment="1" applyProtection="1">
      <alignment horizontal="right"/>
      <protection hidden="1"/>
    </xf>
    <xf numFmtId="170" fontId="1" fillId="0" borderId="1" xfId="2" applyNumberFormat="1" applyFont="1" applyBorder="1" applyAlignment="1" applyProtection="1">
      <alignment horizontal="right"/>
      <protection hidden="1"/>
    </xf>
    <xf numFmtId="169" fontId="2" fillId="0" borderId="1" xfId="2" applyNumberFormat="1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</xf>
    <xf numFmtId="0" fontId="24" fillId="7" borderId="1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  <protection locked="0"/>
    </xf>
    <xf numFmtId="169" fontId="19" fillId="2" borderId="1" xfId="2" applyNumberFormat="1" applyFont="1" applyFill="1" applyBorder="1" applyAlignment="1" applyProtection="1">
      <alignment horizontal="right"/>
    </xf>
    <xf numFmtId="10" fontId="19" fillId="2" borderId="1" xfId="4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</xf>
    <xf numFmtId="43" fontId="19" fillId="0" borderId="1" xfId="2" applyFont="1" applyBorder="1" applyAlignment="1" applyProtection="1">
      <alignment horizontal="right"/>
    </xf>
    <xf numFmtId="170" fontId="19" fillId="0" borderId="1" xfId="2" applyNumberFormat="1" applyFont="1" applyBorder="1" applyAlignment="1" applyProtection="1">
      <alignment horizontal="right"/>
      <protection locked="0"/>
    </xf>
    <xf numFmtId="169" fontId="2" fillId="0" borderId="1" xfId="2" applyNumberFormat="1" applyFont="1" applyBorder="1" applyAlignment="1" applyProtection="1">
      <alignment horizontal="right"/>
    </xf>
    <xf numFmtId="0" fontId="1" fillId="0" borderId="1" xfId="0" applyFont="1" applyBorder="1" applyProtection="1"/>
    <xf numFmtId="169" fontId="19" fillId="0" borderId="0" xfId="2" applyNumberFormat="1" applyFont="1" applyBorder="1" applyAlignment="1" applyProtection="1">
      <alignment horizontal="right"/>
      <protection locked="0"/>
    </xf>
    <xf numFmtId="169" fontId="19" fillId="2" borderId="0" xfId="2" applyNumberFormat="1" applyFont="1" applyFill="1" applyBorder="1" applyAlignment="1" applyProtection="1">
      <alignment horizontal="right"/>
    </xf>
    <xf numFmtId="10" fontId="19" fillId="2" borderId="0" xfId="4" applyNumberFormat="1" applyFont="1" applyFill="1" applyBorder="1" applyAlignment="1" applyProtection="1">
      <alignment horizontal="right"/>
    </xf>
    <xf numFmtId="169" fontId="19" fillId="0" borderId="0" xfId="2" applyNumberFormat="1" applyFont="1" applyBorder="1" applyAlignment="1" applyProtection="1">
      <alignment horizontal="right"/>
    </xf>
    <xf numFmtId="43" fontId="19" fillId="0" borderId="0" xfId="2" applyFont="1" applyBorder="1" applyAlignment="1" applyProtection="1">
      <alignment horizontal="right"/>
    </xf>
    <xf numFmtId="170" fontId="19" fillId="0" borderId="0" xfId="2" applyNumberFormat="1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2" fontId="1" fillId="0" borderId="4" xfId="0" applyNumberFormat="1" applyFont="1" applyBorder="1" applyAlignment="1" applyProtection="1">
      <alignment horizontal="right"/>
      <protection hidden="1"/>
    </xf>
    <xf numFmtId="169" fontId="1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  <protection locked="0"/>
    </xf>
    <xf numFmtId="169" fontId="1" fillId="0" borderId="4" xfId="2" applyNumberFormat="1" applyFont="1" applyBorder="1" applyAlignment="1" applyProtection="1">
      <alignment horizontal="right"/>
    </xf>
    <xf numFmtId="1" fontId="19" fillId="0" borderId="4" xfId="2" applyNumberFormat="1" applyFont="1" applyBorder="1" applyAlignment="1" applyProtection="1">
      <alignment horizontal="right"/>
    </xf>
    <xf numFmtId="169" fontId="19" fillId="2" borderId="4" xfId="2" applyNumberFormat="1" applyFont="1" applyFill="1" applyBorder="1" applyAlignment="1" applyProtection="1">
      <alignment horizontal="right"/>
    </xf>
    <xf numFmtId="10" fontId="19" fillId="2" borderId="4" xfId="4" applyNumberFormat="1" applyFont="1" applyFill="1" applyBorder="1" applyAlignment="1" applyProtection="1">
      <alignment horizontal="right"/>
    </xf>
    <xf numFmtId="2" fontId="19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</xf>
    <xf numFmtId="43" fontId="19" fillId="0" borderId="4" xfId="2" applyFont="1" applyBorder="1" applyAlignment="1" applyProtection="1">
      <alignment horizontal="right"/>
    </xf>
    <xf numFmtId="170" fontId="19" fillId="0" borderId="4" xfId="2" applyNumberFormat="1" applyFont="1" applyBorder="1" applyAlignment="1" applyProtection="1">
      <alignment horizontal="right"/>
      <protection locked="0"/>
    </xf>
    <xf numFmtId="169" fontId="2" fillId="0" borderId="4" xfId="2" applyNumberFormat="1" applyFont="1" applyBorder="1" applyAlignment="1" applyProtection="1">
      <alignment horizontal="right"/>
    </xf>
    <xf numFmtId="0" fontId="1" fillId="0" borderId="4" xfId="0" applyFont="1" applyBorder="1" applyProtection="1"/>
    <xf numFmtId="0" fontId="3" fillId="7" borderId="2" xfId="0" applyFont="1" applyFill="1" applyBorder="1" applyAlignment="1" applyProtection="1">
      <alignment horizontal="center"/>
    </xf>
    <xf numFmtId="0" fontId="3" fillId="7" borderId="1" xfId="0" applyFont="1" applyFill="1" applyBorder="1" applyAlignment="1" applyProtection="1">
      <alignment horizontal="center"/>
    </xf>
    <xf numFmtId="0" fontId="1" fillId="0" borderId="16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0" fillId="0" borderId="2" xfId="0" applyBorder="1" applyProtection="1">
      <protection hidden="1"/>
    </xf>
    <xf numFmtId="0" fontId="2" fillId="0" borderId="0" xfId="0" applyFont="1" applyBorder="1" applyProtection="1">
      <protection hidden="1"/>
    </xf>
    <xf numFmtId="169" fontId="0" fillId="0" borderId="0" xfId="0" applyNumberFormat="1" applyBorder="1" applyProtection="1">
      <protection hidden="1"/>
    </xf>
    <xf numFmtId="169" fontId="2" fillId="0" borderId="0" xfId="0" applyNumberFormat="1" applyFont="1" applyBorder="1" applyProtection="1">
      <protection hidden="1"/>
    </xf>
    <xf numFmtId="0" fontId="1" fillId="0" borderId="16" xfId="0" applyFont="1" applyBorder="1" applyProtection="1"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5" fillId="0" borderId="9" xfId="0" applyFont="1" applyFill="1" applyBorder="1" applyAlignment="1" applyProtection="1">
      <alignment horizontal="left"/>
      <protection locked="0"/>
    </xf>
    <xf numFmtId="0" fontId="5" fillId="6" borderId="9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0" xfId="0" applyFont="1" applyProtection="1">
      <protection hidden="1"/>
    </xf>
    <xf numFmtId="0" fontId="7" fillId="0" borderId="0" xfId="0" applyFont="1" applyProtection="1">
      <protection hidden="1"/>
    </xf>
    <xf numFmtId="169" fontId="1" fillId="6" borderId="9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 applyProtection="1"/>
    <xf numFmtId="169" fontId="0" fillId="0" borderId="0" xfId="0" applyNumberFormat="1" applyFill="1" applyBorder="1" applyProtection="1"/>
    <xf numFmtId="2" fontId="1" fillId="0" borderId="18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  <protection locked="0"/>
    </xf>
    <xf numFmtId="169" fontId="1" fillId="2" borderId="1" xfId="2" applyNumberFormat="1" applyFont="1" applyFill="1" applyBorder="1" applyAlignment="1" applyProtection="1">
      <alignment horizontal="right"/>
    </xf>
    <xf numFmtId="10" fontId="1" fillId="2" borderId="1" xfId="4" applyNumberFormat="1" applyFont="1" applyFill="1" applyBorder="1" applyAlignment="1" applyProtection="1">
      <alignment horizontal="right"/>
    </xf>
    <xf numFmtId="43" fontId="1" fillId="0" borderId="1" xfId="2" applyFont="1" applyBorder="1" applyAlignment="1" applyProtection="1">
      <alignment horizontal="right"/>
    </xf>
    <xf numFmtId="170" fontId="1" fillId="0" borderId="1" xfId="2" applyNumberFormat="1" applyFont="1" applyBorder="1" applyAlignment="1" applyProtection="1">
      <alignment horizontal="right"/>
      <protection locked="0"/>
    </xf>
    <xf numFmtId="169" fontId="1" fillId="0" borderId="19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  <protection locked="0"/>
    </xf>
    <xf numFmtId="169" fontId="1" fillId="0" borderId="16" xfId="2" applyNumberFormat="1" applyFont="1" applyBorder="1" applyAlignment="1" applyProtection="1">
      <alignment horizontal="right"/>
    </xf>
    <xf numFmtId="1" fontId="19" fillId="0" borderId="20" xfId="2" applyNumberFormat="1" applyFont="1" applyBorder="1" applyAlignment="1" applyProtection="1">
      <alignment horizontal="right"/>
    </xf>
    <xf numFmtId="169" fontId="19" fillId="2" borderId="16" xfId="2" applyNumberFormat="1" applyFont="1" applyFill="1" applyBorder="1" applyAlignment="1" applyProtection="1">
      <alignment horizontal="right"/>
    </xf>
    <xf numFmtId="10" fontId="19" fillId="2" borderId="16" xfId="4" applyNumberFormat="1" applyFont="1" applyFill="1" applyBorder="1" applyAlignment="1" applyProtection="1">
      <alignment horizontal="right"/>
    </xf>
    <xf numFmtId="2" fontId="19" fillId="0" borderId="20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</xf>
    <xf numFmtId="43" fontId="19" fillId="0" borderId="16" xfId="2" applyFont="1" applyBorder="1" applyAlignment="1" applyProtection="1">
      <alignment horizontal="right"/>
    </xf>
    <xf numFmtId="170" fontId="19" fillId="0" borderId="16" xfId="2" applyNumberFormat="1" applyFont="1" applyBorder="1" applyAlignment="1" applyProtection="1">
      <alignment horizontal="right"/>
      <protection locked="0"/>
    </xf>
    <xf numFmtId="169" fontId="2" fillId="0" borderId="21" xfId="2" applyNumberFormat="1" applyFont="1" applyBorder="1" applyAlignment="1" applyProtection="1">
      <alignment horizontal="right"/>
    </xf>
    <xf numFmtId="0" fontId="1" fillId="0" borderId="22" xfId="0" applyFont="1" applyBorder="1" applyProtection="1">
      <protection locked="0"/>
    </xf>
    <xf numFmtId="0" fontId="24" fillId="7" borderId="11" xfId="0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23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7" fillId="0" borderId="19" xfId="0" applyFont="1" applyBorder="1" applyAlignment="1" applyProtection="1">
      <alignment horizontal="left"/>
      <protection locked="0"/>
    </xf>
    <xf numFmtId="0" fontId="5" fillId="0" borderId="24" xfId="0" applyFont="1" applyBorder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left"/>
      <protection locked="0"/>
    </xf>
    <xf numFmtId="0" fontId="5" fillId="0" borderId="23" xfId="0" applyFont="1" applyBorder="1" applyAlignment="1" applyProtection="1">
      <alignment horizontal="left"/>
      <protection locked="0"/>
    </xf>
    <xf numFmtId="0" fontId="1" fillId="6" borderId="18" xfId="0" applyFont="1" applyFill="1" applyBorder="1" applyAlignment="1" applyProtection="1">
      <alignment horizontal="left"/>
      <protection locked="0"/>
    </xf>
    <xf numFmtId="0" fontId="1" fillId="6" borderId="25" xfId="0" applyFont="1" applyFill="1" applyBorder="1" applyAlignment="1" applyProtection="1">
      <alignment horizontal="left"/>
      <protection locked="0"/>
    </xf>
    <xf numFmtId="0" fontId="24" fillId="7" borderId="7" xfId="0" applyFont="1" applyFill="1" applyBorder="1" applyAlignment="1" applyProtection="1">
      <alignment horizontal="center"/>
    </xf>
    <xf numFmtId="0" fontId="25" fillId="7" borderId="3" xfId="0" applyFont="1" applyFill="1" applyBorder="1" applyProtection="1"/>
    <xf numFmtId="0" fontId="3" fillId="0" borderId="26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0" fillId="0" borderId="28" xfId="0" applyFill="1" applyBorder="1" applyProtection="1"/>
    <xf numFmtId="0" fontId="1" fillId="0" borderId="29" xfId="0" applyFont="1" applyBorder="1" applyAlignment="1" applyProtection="1">
      <alignment horizontal="center"/>
    </xf>
    <xf numFmtId="0" fontId="1" fillId="0" borderId="30" xfId="0" applyFont="1" applyBorder="1" applyProtection="1"/>
    <xf numFmtId="0" fontId="1" fillId="0" borderId="31" xfId="0" applyFont="1" applyBorder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0" fontId="1" fillId="0" borderId="33" xfId="0" applyFont="1" applyBorder="1" applyProtection="1"/>
    <xf numFmtId="0" fontId="0" fillId="0" borderId="32" xfId="0" applyBorder="1" applyProtection="1"/>
    <xf numFmtId="0" fontId="0" fillId="0" borderId="0" xfId="0" applyBorder="1" applyProtection="1"/>
    <xf numFmtId="0" fontId="0" fillId="0" borderId="33" xfId="0" applyBorder="1" applyProtection="1"/>
    <xf numFmtId="0" fontId="22" fillId="0" borderId="32" xfId="0" applyFont="1" applyBorder="1" applyProtection="1"/>
    <xf numFmtId="0" fontId="22" fillId="0" borderId="0" xfId="0" applyFont="1" applyBorder="1" applyProtection="1"/>
    <xf numFmtId="0" fontId="22" fillId="0" borderId="33" xfId="0" applyFont="1" applyBorder="1" applyProtection="1"/>
    <xf numFmtId="0" fontId="13" fillId="0" borderId="34" xfId="0" applyFont="1" applyBorder="1" applyProtection="1"/>
    <xf numFmtId="0" fontId="0" fillId="0" borderId="35" xfId="0" applyBorder="1" applyProtection="1"/>
    <xf numFmtId="0" fontId="3" fillId="0" borderId="36" xfId="0" applyFont="1" applyBorder="1" applyAlignment="1" applyProtection="1">
      <alignment horizontal="center"/>
    </xf>
    <xf numFmtId="0" fontId="2" fillId="0" borderId="37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"/>
    </xf>
    <xf numFmtId="0" fontId="25" fillId="7" borderId="37" xfId="0" applyFont="1" applyFill="1" applyBorder="1" applyProtection="1"/>
    <xf numFmtId="0" fontId="25" fillId="7" borderId="39" xfId="0" applyFont="1" applyFill="1" applyBorder="1" applyProtection="1"/>
    <xf numFmtId="0" fontId="1" fillId="6" borderId="40" xfId="0" applyFont="1" applyFill="1" applyBorder="1" applyAlignment="1" applyProtection="1">
      <alignment horizontal="left"/>
      <protection locked="0"/>
    </xf>
    <xf numFmtId="0" fontId="1" fillId="0" borderId="41" xfId="0" applyFont="1" applyBorder="1" applyProtection="1"/>
    <xf numFmtId="1" fontId="1" fillId="0" borderId="42" xfId="2" applyNumberFormat="1" applyFont="1" applyBorder="1" applyAlignment="1" applyProtection="1">
      <alignment horizontal="right"/>
    </xf>
    <xf numFmtId="2" fontId="1" fillId="0" borderId="42" xfId="2" applyNumberFormat="1" applyFont="1" applyFill="1" applyBorder="1" applyAlignment="1" applyProtection="1">
      <alignment horizontal="right"/>
    </xf>
    <xf numFmtId="0" fontId="1" fillId="0" borderId="40" xfId="0" applyFont="1" applyBorder="1" applyProtection="1"/>
    <xf numFmtId="0" fontId="1" fillId="0" borderId="16" xfId="0" applyFont="1" applyFill="1" applyBorder="1" applyProtection="1">
      <protection locked="0"/>
    </xf>
    <xf numFmtId="0" fontId="24" fillId="7" borderId="3" xfId="0" applyFont="1" applyFill="1" applyBorder="1" applyAlignment="1" applyProtection="1">
      <alignment horizontal="center" vertical="center" wrapText="1"/>
      <protection hidden="1"/>
    </xf>
    <xf numFmtId="0" fontId="24" fillId="7" borderId="2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43" xfId="0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28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4" fillId="7" borderId="43" xfId="0" applyFont="1" applyFill="1" applyBorder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</xf>
    <xf numFmtId="0" fontId="24" fillId="7" borderId="11" xfId="0" applyFont="1" applyFill="1" applyBorder="1" applyAlignment="1" applyProtection="1">
      <alignment horizontal="center"/>
    </xf>
    <xf numFmtId="0" fontId="24" fillId="7" borderId="43" xfId="0" applyFont="1" applyFill="1" applyBorder="1" applyAlignment="1" applyProtection="1">
      <alignment horizontal="center"/>
    </xf>
    <xf numFmtId="0" fontId="21" fillId="0" borderId="32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0" fontId="21" fillId="0" borderId="33" xfId="0" applyFont="1" applyBorder="1" applyAlignment="1" applyProtection="1">
      <alignment horizontal="center"/>
    </xf>
    <xf numFmtId="0" fontId="20" fillId="0" borderId="32" xfId="0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33" xfId="0" applyFont="1" applyBorder="1" applyAlignment="1" applyProtection="1">
      <alignment horizontal="center"/>
      <protection locked="0"/>
    </xf>
    <xf numFmtId="0" fontId="24" fillId="7" borderId="3" xfId="0" applyFont="1" applyFill="1" applyBorder="1" applyAlignment="1" applyProtection="1">
      <alignment horizontal="center" vertical="center" wrapText="1"/>
    </xf>
    <xf numFmtId="0" fontId="24" fillId="7" borderId="2" xfId="0" applyFont="1" applyFill="1" applyBorder="1" applyAlignment="1" applyProtection="1">
      <alignment horizontal="center" vertical="center" wrapText="1"/>
    </xf>
    <xf numFmtId="0" fontId="21" fillId="5" borderId="0" xfId="0" applyFont="1" applyFill="1" applyAlignment="1" applyProtection="1">
      <alignment horizontal="center"/>
    </xf>
    <xf numFmtId="0" fontId="20" fillId="5" borderId="0" xfId="0" applyFont="1" applyFill="1" applyAlignment="1" applyProtection="1">
      <alignment horizontal="center"/>
      <protection locked="0"/>
    </xf>
    <xf numFmtId="0" fontId="21" fillId="5" borderId="0" xfId="0" applyFont="1" applyFill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43" xfId="0" applyFont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3" fillId="2" borderId="43" xfId="0" applyFont="1" applyFill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43" xfId="0" applyFont="1" applyBorder="1" applyAlignment="1" applyProtection="1">
      <alignment horizontal="center"/>
    </xf>
    <xf numFmtId="0" fontId="11" fillId="0" borderId="46" xfId="0" applyFont="1" applyBorder="1" applyAlignment="1" applyProtection="1">
      <alignment horizontal="center"/>
    </xf>
    <xf numFmtId="0" fontId="11" fillId="0" borderId="47" xfId="0" applyFont="1" applyBorder="1" applyAlignment="1" applyProtection="1">
      <alignment horizontal="center"/>
    </xf>
    <xf numFmtId="0" fontId="11" fillId="0" borderId="44" xfId="0" applyFont="1" applyBorder="1" applyAlignment="1" applyProtection="1">
      <alignment horizontal="center"/>
    </xf>
    <xf numFmtId="0" fontId="11" fillId="0" borderId="45" xfId="0" applyFont="1" applyBorder="1" applyAlignment="1" applyProtection="1">
      <alignment horizontal="center"/>
    </xf>
    <xf numFmtId="0" fontId="11" fillId="0" borderId="1" xfId="0" applyFont="1" applyBorder="1" applyAlignment="1" applyProtection="1">
      <alignment horizontal="center"/>
    </xf>
    <xf numFmtId="0" fontId="11" fillId="0" borderId="48" xfId="0" applyFont="1" applyBorder="1" applyAlignment="1" applyProtection="1">
      <alignment horizontal="center"/>
    </xf>
    <xf numFmtId="0" fontId="11" fillId="0" borderId="15" xfId="0" applyFont="1" applyBorder="1" applyAlignment="1" applyProtection="1">
      <alignment horizontal="center"/>
    </xf>
    <xf numFmtId="0" fontId="11" fillId="0" borderId="3" xfId="0" applyFont="1" applyBorder="1" applyAlignment="1" applyProtection="1">
      <alignment horizontal="center"/>
    </xf>
    <xf numFmtId="0" fontId="11" fillId="0" borderId="2" xfId="0" applyFont="1" applyBorder="1" applyAlignment="1" applyProtection="1">
      <alignment horizontal="center"/>
    </xf>
  </cellXfs>
  <cellStyles count="5">
    <cellStyle name="Euro" xfId="1"/>
    <cellStyle name="Millares" xfId="2" builtinId="3"/>
    <cellStyle name="Normal" xfId="0" builtinId="0"/>
    <cellStyle name="Normal 2" xfId="3"/>
    <cellStyle name="Porcentual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C%20LUIS\Desktop\NOMINA\Pgo%20Prov.%20Gonzalo%20Gtz.%20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4"/>
  <sheetViews>
    <sheetView workbookViewId="0">
      <selection activeCell="A5" sqref="A5"/>
    </sheetView>
  </sheetViews>
  <sheetFormatPr baseColWidth="10" defaultRowHeight="12.75"/>
  <cols>
    <col min="1" max="1" width="15.7109375" customWidth="1"/>
  </cols>
  <sheetData>
    <row r="3" spans="1:1">
      <c r="A3" s="197" t="s">
        <v>241</v>
      </c>
    </row>
    <row r="4" spans="1:1">
      <c r="A4" s="197" t="s">
        <v>242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A36"/>
  <sheetViews>
    <sheetView workbookViewId="0">
      <selection activeCell="C13" sqref="C13"/>
    </sheetView>
  </sheetViews>
  <sheetFormatPr baseColWidth="10" defaultRowHeight="12.75"/>
  <cols>
    <col min="1" max="1" width="5.85546875" style="120" customWidth="1"/>
    <col min="2" max="2" width="4.42578125" style="120" customWidth="1"/>
    <col min="3" max="3" width="40.7109375" style="120" customWidth="1"/>
    <col min="4" max="4" width="23.42578125" style="120" customWidth="1"/>
    <col min="5" max="5" width="5.5703125" style="120" hidden="1" customWidth="1"/>
    <col min="6" max="6" width="8.140625" style="120" hidden="1" customWidth="1"/>
    <col min="7" max="7" width="11.42578125" style="120" customWidth="1"/>
    <col min="8" max="8" width="7" style="120" bestFit="1" customWidth="1"/>
    <col min="9" max="9" width="14.140625" style="120" bestFit="1" customWidth="1"/>
    <col min="10" max="10" width="8.7109375" style="120" hidden="1" customWidth="1"/>
    <col min="11" max="11" width="13.140625" style="120" hidden="1" customWidth="1"/>
    <col min="12" max="14" width="11" style="120" hidden="1" customWidth="1"/>
    <col min="15" max="16" width="13.140625" style="120" hidden="1" customWidth="1"/>
    <col min="17" max="17" width="10.5703125" style="120" hidden="1" customWidth="1"/>
    <col min="18" max="18" width="10.42578125" style="120" hidden="1" customWidth="1"/>
    <col min="19" max="19" width="13.140625" style="120" hidden="1" customWidth="1"/>
    <col min="20" max="20" width="11.5703125" style="120" hidden="1" customWidth="1"/>
    <col min="21" max="21" width="7.7109375" style="120" hidden="1" customWidth="1"/>
    <col min="22" max="22" width="8" style="120" bestFit="1" customWidth="1"/>
    <col min="23" max="23" width="11.42578125" style="120" customWidth="1"/>
    <col min="24" max="24" width="8.85546875" style="120" bestFit="1" customWidth="1"/>
    <col min="25" max="25" width="11" style="120" customWidth="1"/>
    <col min="26" max="26" width="12.85546875" style="120" customWidth="1"/>
    <col min="27" max="27" width="48.7109375" style="120" customWidth="1"/>
    <col min="28" max="16384" width="11.42578125" style="120"/>
  </cols>
  <sheetData>
    <row r="1" spans="2:27" ht="5.25" customHeight="1"/>
    <row r="2" spans="2:27" ht="5.25" customHeight="1"/>
    <row r="3" spans="2:27" ht="18">
      <c r="B3" s="326" t="s">
        <v>68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</row>
    <row r="4" spans="2:27" ht="15">
      <c r="B4" s="327" t="s">
        <v>316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</row>
    <row r="5" spans="2:27" ht="15">
      <c r="B5" s="327" t="s">
        <v>69</v>
      </c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</row>
    <row r="6" spans="2:27">
      <c r="B6" s="121"/>
      <c r="C6" s="121"/>
      <c r="D6" s="121"/>
      <c r="E6" s="122" t="s">
        <v>22</v>
      </c>
      <c r="F6" s="122" t="s">
        <v>6</v>
      </c>
      <c r="G6" s="328" t="s">
        <v>1</v>
      </c>
      <c r="H6" s="329"/>
      <c r="I6" s="330"/>
      <c r="J6" s="123"/>
      <c r="K6" s="122" t="s">
        <v>25</v>
      </c>
      <c r="L6" s="124"/>
      <c r="M6" s="328" t="s">
        <v>9</v>
      </c>
      <c r="N6" s="329"/>
      <c r="O6" s="329"/>
      <c r="P6" s="329"/>
      <c r="Q6" s="329"/>
      <c r="R6" s="330"/>
      <c r="S6" s="122" t="s">
        <v>29</v>
      </c>
      <c r="T6" s="122" t="s">
        <v>10</v>
      </c>
      <c r="U6" s="123"/>
      <c r="V6" s="122" t="s">
        <v>53</v>
      </c>
      <c r="W6" s="328" t="s">
        <v>2</v>
      </c>
      <c r="X6" s="329"/>
      <c r="Y6" s="330"/>
      <c r="Z6" s="122" t="s">
        <v>0</v>
      </c>
      <c r="AA6" s="125"/>
    </row>
    <row r="7" spans="2:27">
      <c r="B7" s="126" t="s">
        <v>21</v>
      </c>
      <c r="C7" s="126"/>
      <c r="D7" s="126"/>
      <c r="E7" s="127" t="s">
        <v>23</v>
      </c>
      <c r="F7" s="128" t="s">
        <v>24</v>
      </c>
      <c r="G7" s="122" t="s">
        <v>6</v>
      </c>
      <c r="H7" s="122" t="s">
        <v>61</v>
      </c>
      <c r="I7" s="122" t="s">
        <v>27</v>
      </c>
      <c r="J7" s="123"/>
      <c r="K7" s="128" t="s">
        <v>26</v>
      </c>
      <c r="L7" s="124" t="s">
        <v>31</v>
      </c>
      <c r="M7" s="124" t="s">
        <v>12</v>
      </c>
      <c r="N7" s="124" t="s">
        <v>33</v>
      </c>
      <c r="O7" s="124" t="s">
        <v>35</v>
      </c>
      <c r="P7" s="124" t="s">
        <v>36</v>
      </c>
      <c r="Q7" s="124" t="s">
        <v>14</v>
      </c>
      <c r="R7" s="124" t="s">
        <v>10</v>
      </c>
      <c r="S7" s="128" t="s">
        <v>39</v>
      </c>
      <c r="T7" s="128" t="s">
        <v>40</v>
      </c>
      <c r="U7" s="123"/>
      <c r="V7" s="128" t="s">
        <v>30</v>
      </c>
      <c r="W7" s="321" t="s">
        <v>240</v>
      </c>
      <c r="X7" s="122" t="s">
        <v>57</v>
      </c>
      <c r="Y7" s="122" t="s">
        <v>7</v>
      </c>
      <c r="Z7" s="128" t="s">
        <v>4</v>
      </c>
      <c r="AA7" s="129" t="s">
        <v>60</v>
      </c>
    </row>
    <row r="8" spans="2:27" ht="15">
      <c r="B8" s="167"/>
      <c r="C8" s="131"/>
      <c r="D8" s="131" t="s">
        <v>65</v>
      </c>
      <c r="E8" s="128"/>
      <c r="F8" s="128"/>
      <c r="G8" s="128" t="s">
        <v>46</v>
      </c>
      <c r="H8" s="128" t="s">
        <v>62</v>
      </c>
      <c r="I8" s="128" t="s">
        <v>28</v>
      </c>
      <c r="J8" s="123"/>
      <c r="K8" s="128" t="s">
        <v>42</v>
      </c>
      <c r="L8" s="122" t="s">
        <v>32</v>
      </c>
      <c r="M8" s="122" t="s">
        <v>13</v>
      </c>
      <c r="N8" s="122" t="s">
        <v>34</v>
      </c>
      <c r="O8" s="122" t="s">
        <v>34</v>
      </c>
      <c r="P8" s="122" t="s">
        <v>37</v>
      </c>
      <c r="Q8" s="122" t="s">
        <v>15</v>
      </c>
      <c r="R8" s="122" t="s">
        <v>38</v>
      </c>
      <c r="S8" s="128" t="s">
        <v>19</v>
      </c>
      <c r="T8" s="132" t="s">
        <v>235</v>
      </c>
      <c r="U8" s="133"/>
      <c r="V8" s="128" t="s">
        <v>52</v>
      </c>
      <c r="W8" s="322"/>
      <c r="X8" s="128"/>
      <c r="Y8" s="128" t="s">
        <v>43</v>
      </c>
      <c r="Z8" s="128" t="s">
        <v>5</v>
      </c>
      <c r="AA8" s="134"/>
    </row>
    <row r="9" spans="2:27" ht="15">
      <c r="B9" s="128"/>
      <c r="C9" s="135" t="s">
        <v>194</v>
      </c>
      <c r="D9" s="135" t="s">
        <v>64</v>
      </c>
      <c r="E9" s="124"/>
      <c r="F9" s="124"/>
      <c r="G9" s="124"/>
      <c r="H9" s="124"/>
      <c r="I9" s="124"/>
      <c r="J9" s="136"/>
      <c r="K9" s="124"/>
      <c r="L9" s="124"/>
      <c r="M9" s="124"/>
      <c r="N9" s="124"/>
      <c r="O9" s="124"/>
      <c r="P9" s="124"/>
      <c r="Q9" s="124"/>
      <c r="R9" s="124"/>
      <c r="S9" s="124"/>
      <c r="T9" s="136"/>
      <c r="U9" s="136"/>
      <c r="V9" s="124"/>
      <c r="W9" s="124"/>
      <c r="X9" s="124"/>
      <c r="Y9" s="124"/>
      <c r="Z9" s="124"/>
      <c r="AA9" s="137"/>
    </row>
    <row r="10" spans="2:27" ht="15">
      <c r="B10" s="126"/>
      <c r="C10" s="139"/>
      <c r="D10" s="139"/>
      <c r="E10" s="138"/>
      <c r="F10" s="138"/>
      <c r="G10" s="138"/>
      <c r="H10" s="138"/>
      <c r="I10" s="138"/>
      <c r="J10" s="140"/>
      <c r="K10" s="138"/>
      <c r="L10" s="138"/>
      <c r="M10" s="138"/>
      <c r="N10" s="138"/>
      <c r="O10" s="138"/>
      <c r="P10" s="138"/>
      <c r="Q10" s="138"/>
      <c r="R10" s="138"/>
      <c r="S10" s="138"/>
      <c r="T10" s="140"/>
      <c r="U10" s="140"/>
      <c r="V10" s="138"/>
      <c r="W10" s="138"/>
      <c r="X10" s="138"/>
      <c r="Y10" s="138"/>
      <c r="Z10" s="138"/>
      <c r="AA10" s="141"/>
    </row>
    <row r="11" spans="2:27" ht="24.95" customHeight="1">
      <c r="B11" s="51">
        <v>1</v>
      </c>
      <c r="C11" s="50" t="s">
        <v>259</v>
      </c>
      <c r="D11" s="50" t="s">
        <v>149</v>
      </c>
      <c r="E11" s="51">
        <v>15</v>
      </c>
      <c r="F11" s="143">
        <f>TRUNC(G11/15,2)</f>
        <v>603.19000000000005</v>
      </c>
      <c r="G11" s="53">
        <v>9047.85</v>
      </c>
      <c r="H11" s="145">
        <v>0</v>
      </c>
      <c r="I11" s="145">
        <f>TRUNC(SUM(E11*F11)+H11,2)</f>
        <v>9047.85</v>
      </c>
      <c r="J11" s="146"/>
      <c r="K11" s="147">
        <v>0</v>
      </c>
      <c r="L11" s="147">
        <f>I11</f>
        <v>9047.85</v>
      </c>
      <c r="M11" s="147">
        <f>VLOOKUP(L11,Tarifa1,1)</f>
        <v>5081.41</v>
      </c>
      <c r="N11" s="147">
        <f>L11-M11</f>
        <v>3966.4400000000005</v>
      </c>
      <c r="O11" s="148">
        <f>VLOOKUP(L11,Tarifa1,3)</f>
        <v>0.21360000000000001</v>
      </c>
      <c r="P11" s="147">
        <f>N11*O11</f>
        <v>847.23158400000011</v>
      </c>
      <c r="Q11" s="147">
        <f>VLOOKUP(L11,Tarifa1,2)</f>
        <v>538.20000000000005</v>
      </c>
      <c r="R11" s="147">
        <f>P11+Q11</f>
        <v>1385.4315840000002</v>
      </c>
      <c r="S11" s="147">
        <f>VLOOKUP(L11,Credito1,2)</f>
        <v>0</v>
      </c>
      <c r="T11" s="147">
        <f>R11-S11</f>
        <v>1385.4315840000002</v>
      </c>
      <c r="U11" s="149"/>
      <c r="V11" s="145">
        <f>-IF(T11&gt;0,0,T11)</f>
        <v>0</v>
      </c>
      <c r="W11" s="150">
        <f>IF(T11&lt;0,0,T11)</f>
        <v>1385.4315840000002</v>
      </c>
      <c r="X11" s="151">
        <v>0</v>
      </c>
      <c r="Y11" s="145">
        <f>SUM(W11:X11)</f>
        <v>1385.4315840000002</v>
      </c>
      <c r="Z11" s="152">
        <f>I11+V11-Y11</f>
        <v>7662.4184160000004</v>
      </c>
      <c r="AA11" s="153"/>
    </row>
    <row r="12" spans="2:27" ht="24.95" customHeight="1">
      <c r="B12" s="51">
        <v>2</v>
      </c>
      <c r="C12" s="50" t="s">
        <v>260</v>
      </c>
      <c r="D12" s="50" t="s">
        <v>149</v>
      </c>
      <c r="E12" s="51">
        <v>15</v>
      </c>
      <c r="F12" s="143">
        <f t="shared" ref="F12:F21" si="0">TRUNC(G12/15,2)</f>
        <v>603.19000000000005</v>
      </c>
      <c r="G12" s="53">
        <v>9047.85</v>
      </c>
      <c r="H12" s="145">
        <v>0</v>
      </c>
      <c r="I12" s="145">
        <f t="shared" ref="I12:I20" si="1">TRUNC(SUM(E12*F12)+H12,2)</f>
        <v>9047.85</v>
      </c>
      <c r="J12" s="146"/>
      <c r="K12" s="147">
        <v>0</v>
      </c>
      <c r="L12" s="147">
        <f t="shared" ref="L12:L21" si="2">I12</f>
        <v>9047.85</v>
      </c>
      <c r="M12" s="147">
        <f t="shared" ref="M12:M20" si="3">VLOOKUP(L12,Tarifa1,1)</f>
        <v>5081.41</v>
      </c>
      <c r="N12" s="147">
        <f t="shared" ref="N12:N21" si="4">L12-M12</f>
        <v>3966.4400000000005</v>
      </c>
      <c r="O12" s="148">
        <f t="shared" ref="O12:O20" si="5">VLOOKUP(L12,Tarifa1,3)</f>
        <v>0.21360000000000001</v>
      </c>
      <c r="P12" s="147">
        <f t="shared" ref="P12:P21" si="6">N12*O12</f>
        <v>847.23158400000011</v>
      </c>
      <c r="Q12" s="147">
        <f t="shared" ref="Q12:Q20" si="7">VLOOKUP(L12,Tarifa1,2)</f>
        <v>538.20000000000005</v>
      </c>
      <c r="R12" s="147">
        <f t="shared" ref="R12:R21" si="8">P12+Q12</f>
        <v>1385.4315840000002</v>
      </c>
      <c r="S12" s="147">
        <f t="shared" ref="S12:S20" si="9">VLOOKUP(L12,Credito1,2)</f>
        <v>0</v>
      </c>
      <c r="T12" s="147">
        <f t="shared" ref="T12:T21" si="10">R12-S12</f>
        <v>1385.4315840000002</v>
      </c>
      <c r="U12" s="149"/>
      <c r="V12" s="145">
        <f t="shared" ref="V12:V20" si="11">-IF(T12&gt;0,0,T12)</f>
        <v>0</v>
      </c>
      <c r="W12" s="150">
        <f t="shared" ref="W12:W20" si="12">IF(T12&lt;0,0,T12)</f>
        <v>1385.4315840000002</v>
      </c>
      <c r="X12" s="151">
        <v>0</v>
      </c>
      <c r="Y12" s="145">
        <f t="shared" ref="Y12:Y20" si="13">SUM(W12:X12)</f>
        <v>1385.4315840000002</v>
      </c>
      <c r="Z12" s="152">
        <f t="shared" ref="Z12:Z20" si="14">I12+V12-Y12</f>
        <v>7662.4184160000004</v>
      </c>
      <c r="AA12" s="153"/>
    </row>
    <row r="13" spans="2:27" ht="24.95" customHeight="1">
      <c r="B13" s="51">
        <v>3</v>
      </c>
      <c r="C13" s="50" t="s">
        <v>261</v>
      </c>
      <c r="D13" s="50" t="s">
        <v>149</v>
      </c>
      <c r="E13" s="51">
        <v>15</v>
      </c>
      <c r="F13" s="143">
        <f t="shared" si="0"/>
        <v>603.19000000000005</v>
      </c>
      <c r="G13" s="53">
        <v>9047.85</v>
      </c>
      <c r="H13" s="145">
        <v>0</v>
      </c>
      <c r="I13" s="145">
        <f t="shared" si="1"/>
        <v>9047.85</v>
      </c>
      <c r="J13" s="146"/>
      <c r="K13" s="147">
        <v>0</v>
      </c>
      <c r="L13" s="147">
        <f t="shared" si="2"/>
        <v>9047.85</v>
      </c>
      <c r="M13" s="147">
        <f t="shared" si="3"/>
        <v>5081.41</v>
      </c>
      <c r="N13" s="147">
        <f t="shared" si="4"/>
        <v>3966.4400000000005</v>
      </c>
      <c r="O13" s="148">
        <f t="shared" si="5"/>
        <v>0.21360000000000001</v>
      </c>
      <c r="P13" s="147">
        <f t="shared" si="6"/>
        <v>847.23158400000011</v>
      </c>
      <c r="Q13" s="147">
        <f t="shared" si="7"/>
        <v>538.20000000000005</v>
      </c>
      <c r="R13" s="147">
        <f t="shared" si="8"/>
        <v>1385.4315840000002</v>
      </c>
      <c r="S13" s="147">
        <f t="shared" si="9"/>
        <v>0</v>
      </c>
      <c r="T13" s="147">
        <f t="shared" si="10"/>
        <v>1385.4315840000002</v>
      </c>
      <c r="U13" s="149"/>
      <c r="V13" s="145">
        <f t="shared" si="11"/>
        <v>0</v>
      </c>
      <c r="W13" s="150">
        <f t="shared" si="12"/>
        <v>1385.4315840000002</v>
      </c>
      <c r="X13" s="151">
        <v>0</v>
      </c>
      <c r="Y13" s="145">
        <f t="shared" si="13"/>
        <v>1385.4315840000002</v>
      </c>
      <c r="Z13" s="152">
        <f t="shared" si="14"/>
        <v>7662.4184160000004</v>
      </c>
      <c r="AA13" s="153"/>
    </row>
    <row r="14" spans="2:27" ht="24.95" customHeight="1">
      <c r="B14" s="51">
        <v>4</v>
      </c>
      <c r="C14" s="50" t="s">
        <v>267</v>
      </c>
      <c r="D14" s="50" t="s">
        <v>149</v>
      </c>
      <c r="E14" s="51">
        <v>15</v>
      </c>
      <c r="F14" s="143">
        <f t="shared" si="0"/>
        <v>603.19000000000005</v>
      </c>
      <c r="G14" s="53">
        <v>9047.85</v>
      </c>
      <c r="H14" s="145">
        <v>0</v>
      </c>
      <c r="I14" s="145">
        <f t="shared" si="1"/>
        <v>9047.85</v>
      </c>
      <c r="J14" s="146"/>
      <c r="K14" s="147">
        <v>0</v>
      </c>
      <c r="L14" s="147">
        <f t="shared" si="2"/>
        <v>9047.85</v>
      </c>
      <c r="M14" s="147">
        <f t="shared" si="3"/>
        <v>5081.41</v>
      </c>
      <c r="N14" s="147">
        <f t="shared" si="4"/>
        <v>3966.4400000000005</v>
      </c>
      <c r="O14" s="148">
        <f t="shared" si="5"/>
        <v>0.21360000000000001</v>
      </c>
      <c r="P14" s="147">
        <f t="shared" si="6"/>
        <v>847.23158400000011</v>
      </c>
      <c r="Q14" s="147">
        <f t="shared" si="7"/>
        <v>538.20000000000005</v>
      </c>
      <c r="R14" s="147">
        <f t="shared" si="8"/>
        <v>1385.4315840000002</v>
      </c>
      <c r="S14" s="147">
        <f t="shared" si="9"/>
        <v>0</v>
      </c>
      <c r="T14" s="147">
        <f t="shared" si="10"/>
        <v>1385.4315840000002</v>
      </c>
      <c r="U14" s="149"/>
      <c r="V14" s="145">
        <f t="shared" si="11"/>
        <v>0</v>
      </c>
      <c r="W14" s="150">
        <f t="shared" si="12"/>
        <v>1385.4315840000002</v>
      </c>
      <c r="X14" s="151">
        <v>0</v>
      </c>
      <c r="Y14" s="145">
        <f t="shared" si="13"/>
        <v>1385.4315840000002</v>
      </c>
      <c r="Z14" s="152">
        <f t="shared" si="14"/>
        <v>7662.4184160000004</v>
      </c>
      <c r="AA14" s="153"/>
    </row>
    <row r="15" spans="2:27" ht="24.95" customHeight="1">
      <c r="B15" s="51">
        <v>5</v>
      </c>
      <c r="C15" s="50" t="s">
        <v>262</v>
      </c>
      <c r="D15" s="50" t="s">
        <v>149</v>
      </c>
      <c r="E15" s="51">
        <v>15</v>
      </c>
      <c r="F15" s="143">
        <f t="shared" si="0"/>
        <v>603.19000000000005</v>
      </c>
      <c r="G15" s="53">
        <v>9047.85</v>
      </c>
      <c r="H15" s="145">
        <v>0</v>
      </c>
      <c r="I15" s="145">
        <f t="shared" si="1"/>
        <v>9047.85</v>
      </c>
      <c r="J15" s="146"/>
      <c r="K15" s="147">
        <v>0</v>
      </c>
      <c r="L15" s="147">
        <f t="shared" si="2"/>
        <v>9047.85</v>
      </c>
      <c r="M15" s="147">
        <f t="shared" si="3"/>
        <v>5081.41</v>
      </c>
      <c r="N15" s="147">
        <f t="shared" si="4"/>
        <v>3966.4400000000005</v>
      </c>
      <c r="O15" s="148">
        <f t="shared" si="5"/>
        <v>0.21360000000000001</v>
      </c>
      <c r="P15" s="147">
        <f t="shared" si="6"/>
        <v>847.23158400000011</v>
      </c>
      <c r="Q15" s="147">
        <f t="shared" si="7"/>
        <v>538.20000000000005</v>
      </c>
      <c r="R15" s="147">
        <f t="shared" si="8"/>
        <v>1385.4315840000002</v>
      </c>
      <c r="S15" s="147">
        <f t="shared" si="9"/>
        <v>0</v>
      </c>
      <c r="T15" s="147">
        <f t="shared" si="10"/>
        <v>1385.4315840000002</v>
      </c>
      <c r="U15" s="149"/>
      <c r="V15" s="145">
        <f t="shared" si="11"/>
        <v>0</v>
      </c>
      <c r="W15" s="150">
        <f t="shared" si="12"/>
        <v>1385.4315840000002</v>
      </c>
      <c r="X15" s="151">
        <v>0</v>
      </c>
      <c r="Y15" s="145">
        <f t="shared" si="13"/>
        <v>1385.4315840000002</v>
      </c>
      <c r="Z15" s="152">
        <f t="shared" si="14"/>
        <v>7662.4184160000004</v>
      </c>
      <c r="AA15" s="153"/>
    </row>
    <row r="16" spans="2:27" ht="24.95" customHeight="1">
      <c r="B16" s="51">
        <v>6</v>
      </c>
      <c r="C16" s="50" t="s">
        <v>263</v>
      </c>
      <c r="D16" s="50" t="s">
        <v>149</v>
      </c>
      <c r="E16" s="51">
        <v>15</v>
      </c>
      <c r="F16" s="143">
        <f t="shared" si="0"/>
        <v>603.19000000000005</v>
      </c>
      <c r="G16" s="53">
        <v>9047.85</v>
      </c>
      <c r="H16" s="145">
        <v>0</v>
      </c>
      <c r="I16" s="145">
        <f t="shared" si="1"/>
        <v>9047.85</v>
      </c>
      <c r="J16" s="146"/>
      <c r="K16" s="147">
        <v>0</v>
      </c>
      <c r="L16" s="147">
        <f t="shared" si="2"/>
        <v>9047.85</v>
      </c>
      <c r="M16" s="147">
        <f t="shared" si="3"/>
        <v>5081.41</v>
      </c>
      <c r="N16" s="147">
        <f t="shared" si="4"/>
        <v>3966.4400000000005</v>
      </c>
      <c r="O16" s="148">
        <f t="shared" si="5"/>
        <v>0.21360000000000001</v>
      </c>
      <c r="P16" s="147">
        <f t="shared" si="6"/>
        <v>847.23158400000011</v>
      </c>
      <c r="Q16" s="147">
        <f t="shared" si="7"/>
        <v>538.20000000000005</v>
      </c>
      <c r="R16" s="147">
        <f t="shared" si="8"/>
        <v>1385.4315840000002</v>
      </c>
      <c r="S16" s="147">
        <f t="shared" si="9"/>
        <v>0</v>
      </c>
      <c r="T16" s="147">
        <f t="shared" si="10"/>
        <v>1385.4315840000002</v>
      </c>
      <c r="U16" s="149"/>
      <c r="V16" s="145">
        <f t="shared" si="11"/>
        <v>0</v>
      </c>
      <c r="W16" s="150">
        <f t="shared" si="12"/>
        <v>1385.4315840000002</v>
      </c>
      <c r="X16" s="151">
        <v>0</v>
      </c>
      <c r="Y16" s="145">
        <f t="shared" si="13"/>
        <v>1385.4315840000002</v>
      </c>
      <c r="Z16" s="152">
        <f t="shared" si="14"/>
        <v>7662.4184160000004</v>
      </c>
      <c r="AA16" s="153"/>
    </row>
    <row r="17" spans="2:27" ht="24.95" customHeight="1">
      <c r="B17" s="51">
        <v>7</v>
      </c>
      <c r="C17" s="50" t="s">
        <v>302</v>
      </c>
      <c r="D17" s="50" t="s">
        <v>149</v>
      </c>
      <c r="E17" s="51">
        <v>15</v>
      </c>
      <c r="F17" s="143">
        <f t="shared" si="0"/>
        <v>603.19000000000005</v>
      </c>
      <c r="G17" s="53">
        <v>9047.85</v>
      </c>
      <c r="H17" s="145">
        <v>0</v>
      </c>
      <c r="I17" s="145">
        <f t="shared" si="1"/>
        <v>9047.85</v>
      </c>
      <c r="J17" s="146"/>
      <c r="K17" s="147">
        <v>0</v>
      </c>
      <c r="L17" s="147">
        <f t="shared" si="2"/>
        <v>9047.85</v>
      </c>
      <c r="M17" s="147">
        <f t="shared" si="3"/>
        <v>5081.41</v>
      </c>
      <c r="N17" s="147">
        <f t="shared" si="4"/>
        <v>3966.4400000000005</v>
      </c>
      <c r="O17" s="148">
        <f t="shared" si="5"/>
        <v>0.21360000000000001</v>
      </c>
      <c r="P17" s="147">
        <f t="shared" si="6"/>
        <v>847.23158400000011</v>
      </c>
      <c r="Q17" s="147">
        <f t="shared" si="7"/>
        <v>538.20000000000005</v>
      </c>
      <c r="R17" s="147">
        <f t="shared" si="8"/>
        <v>1385.4315840000002</v>
      </c>
      <c r="S17" s="147">
        <f t="shared" si="9"/>
        <v>0</v>
      </c>
      <c r="T17" s="147">
        <f t="shared" si="10"/>
        <v>1385.4315840000002</v>
      </c>
      <c r="U17" s="149"/>
      <c r="V17" s="145">
        <f t="shared" si="11"/>
        <v>0</v>
      </c>
      <c r="W17" s="150">
        <f t="shared" si="12"/>
        <v>1385.4315840000002</v>
      </c>
      <c r="X17" s="151">
        <v>0</v>
      </c>
      <c r="Y17" s="145">
        <f t="shared" si="13"/>
        <v>1385.4315840000002</v>
      </c>
      <c r="Z17" s="152">
        <f t="shared" si="14"/>
        <v>7662.4184160000004</v>
      </c>
      <c r="AA17" s="153"/>
    </row>
    <row r="18" spans="2:27" ht="24.95" customHeight="1">
      <c r="B18" s="51">
        <v>8</v>
      </c>
      <c r="C18" s="50" t="s">
        <v>264</v>
      </c>
      <c r="D18" s="50" t="s">
        <v>149</v>
      </c>
      <c r="E18" s="51">
        <v>15</v>
      </c>
      <c r="F18" s="143">
        <f t="shared" si="0"/>
        <v>603.19000000000005</v>
      </c>
      <c r="G18" s="53">
        <v>9047.85</v>
      </c>
      <c r="H18" s="145">
        <v>0</v>
      </c>
      <c r="I18" s="145">
        <f t="shared" si="1"/>
        <v>9047.85</v>
      </c>
      <c r="J18" s="146"/>
      <c r="K18" s="147">
        <v>0</v>
      </c>
      <c r="L18" s="147">
        <f t="shared" si="2"/>
        <v>9047.85</v>
      </c>
      <c r="M18" s="147">
        <f t="shared" si="3"/>
        <v>5081.41</v>
      </c>
      <c r="N18" s="147">
        <f t="shared" si="4"/>
        <v>3966.4400000000005</v>
      </c>
      <c r="O18" s="148">
        <f t="shared" si="5"/>
        <v>0.21360000000000001</v>
      </c>
      <c r="P18" s="147">
        <f t="shared" si="6"/>
        <v>847.23158400000011</v>
      </c>
      <c r="Q18" s="147">
        <f t="shared" si="7"/>
        <v>538.20000000000005</v>
      </c>
      <c r="R18" s="147">
        <f t="shared" si="8"/>
        <v>1385.4315840000002</v>
      </c>
      <c r="S18" s="147">
        <f t="shared" si="9"/>
        <v>0</v>
      </c>
      <c r="T18" s="147">
        <f t="shared" si="10"/>
        <v>1385.4315840000002</v>
      </c>
      <c r="U18" s="149"/>
      <c r="V18" s="145">
        <f t="shared" si="11"/>
        <v>0</v>
      </c>
      <c r="W18" s="150">
        <f t="shared" si="12"/>
        <v>1385.4315840000002</v>
      </c>
      <c r="X18" s="151">
        <v>0</v>
      </c>
      <c r="Y18" s="145">
        <f t="shared" si="13"/>
        <v>1385.4315840000002</v>
      </c>
      <c r="Z18" s="152">
        <f t="shared" si="14"/>
        <v>7662.4184160000004</v>
      </c>
      <c r="AA18" s="153"/>
    </row>
    <row r="19" spans="2:27" ht="24.95" customHeight="1">
      <c r="B19" s="51">
        <v>9</v>
      </c>
      <c r="C19" s="50" t="s">
        <v>265</v>
      </c>
      <c r="D19" s="50" t="s">
        <v>149</v>
      </c>
      <c r="E19" s="51">
        <v>15</v>
      </c>
      <c r="F19" s="143">
        <f t="shared" si="0"/>
        <v>603.19000000000005</v>
      </c>
      <c r="G19" s="53">
        <v>9047.85</v>
      </c>
      <c r="H19" s="145">
        <v>0</v>
      </c>
      <c r="I19" s="145">
        <v>9047.85</v>
      </c>
      <c r="J19" s="146"/>
      <c r="K19" s="147">
        <v>0</v>
      </c>
      <c r="L19" s="147">
        <f t="shared" si="2"/>
        <v>9047.85</v>
      </c>
      <c r="M19" s="147">
        <f t="shared" si="3"/>
        <v>5081.41</v>
      </c>
      <c r="N19" s="147">
        <f t="shared" si="4"/>
        <v>3966.4400000000005</v>
      </c>
      <c r="O19" s="148">
        <f t="shared" si="5"/>
        <v>0.21360000000000001</v>
      </c>
      <c r="P19" s="147">
        <f t="shared" si="6"/>
        <v>847.23158400000011</v>
      </c>
      <c r="Q19" s="147">
        <f t="shared" si="7"/>
        <v>538.20000000000005</v>
      </c>
      <c r="R19" s="147">
        <f t="shared" si="8"/>
        <v>1385.4315840000002</v>
      </c>
      <c r="S19" s="147">
        <f t="shared" si="9"/>
        <v>0</v>
      </c>
      <c r="T19" s="147">
        <f t="shared" si="10"/>
        <v>1385.4315840000002</v>
      </c>
      <c r="U19" s="149"/>
      <c r="V19" s="145">
        <f t="shared" si="11"/>
        <v>0</v>
      </c>
      <c r="W19" s="150">
        <f t="shared" si="12"/>
        <v>1385.4315840000002</v>
      </c>
      <c r="X19" s="151">
        <v>0</v>
      </c>
      <c r="Y19" s="145">
        <f t="shared" si="13"/>
        <v>1385.4315840000002</v>
      </c>
      <c r="Z19" s="152">
        <f t="shared" si="14"/>
        <v>7662.4184160000004</v>
      </c>
      <c r="AA19" s="153"/>
    </row>
    <row r="20" spans="2:27" ht="24.95" customHeight="1">
      <c r="B20" s="51">
        <v>10</v>
      </c>
      <c r="C20" s="50" t="s">
        <v>266</v>
      </c>
      <c r="D20" s="50" t="s">
        <v>150</v>
      </c>
      <c r="E20" s="51">
        <v>15</v>
      </c>
      <c r="F20" s="143">
        <f>G20/15</f>
        <v>989.7886666666667</v>
      </c>
      <c r="G20" s="53">
        <v>14846.83</v>
      </c>
      <c r="H20" s="145">
        <v>0</v>
      </c>
      <c r="I20" s="145">
        <f t="shared" si="1"/>
        <v>14846.83</v>
      </c>
      <c r="J20" s="146"/>
      <c r="K20" s="147">
        <v>0</v>
      </c>
      <c r="L20" s="147">
        <f t="shared" si="2"/>
        <v>14846.83</v>
      </c>
      <c r="M20" s="147">
        <f t="shared" si="3"/>
        <v>10248.459999999999</v>
      </c>
      <c r="N20" s="147">
        <f t="shared" si="4"/>
        <v>4598.3700000000008</v>
      </c>
      <c r="O20" s="148">
        <f t="shared" si="5"/>
        <v>0.23519999999999999</v>
      </c>
      <c r="P20" s="147">
        <f t="shared" si="6"/>
        <v>1081.5366240000001</v>
      </c>
      <c r="Q20" s="147">
        <f t="shared" si="7"/>
        <v>1641.75</v>
      </c>
      <c r="R20" s="147">
        <f t="shared" si="8"/>
        <v>2723.2866240000003</v>
      </c>
      <c r="S20" s="147">
        <f t="shared" si="9"/>
        <v>0</v>
      </c>
      <c r="T20" s="147">
        <f t="shared" si="10"/>
        <v>2723.2866240000003</v>
      </c>
      <c r="U20" s="149"/>
      <c r="V20" s="145">
        <f t="shared" si="11"/>
        <v>0</v>
      </c>
      <c r="W20" s="150">
        <f t="shared" si="12"/>
        <v>2723.2866240000003</v>
      </c>
      <c r="X20" s="151">
        <v>0</v>
      </c>
      <c r="Y20" s="145">
        <f t="shared" si="13"/>
        <v>2723.2866240000003</v>
      </c>
      <c r="Z20" s="152">
        <f t="shared" si="14"/>
        <v>12123.543376</v>
      </c>
      <c r="AA20" s="153"/>
    </row>
    <row r="21" spans="2:27" ht="24.95" customHeight="1">
      <c r="B21" s="51"/>
      <c r="C21" s="50"/>
      <c r="D21" s="50"/>
      <c r="E21" s="51"/>
      <c r="F21" s="143">
        <f t="shared" si="0"/>
        <v>0</v>
      </c>
      <c r="G21" s="144"/>
      <c r="H21" s="145"/>
      <c r="I21" s="145"/>
      <c r="J21" s="146"/>
      <c r="K21" s="147">
        <v>0</v>
      </c>
      <c r="L21" s="147">
        <f t="shared" si="2"/>
        <v>0</v>
      </c>
      <c r="M21" s="147">
        <f>IF(I21=0,0,VLOOKUP(L21,Tarifa1,1))</f>
        <v>0</v>
      </c>
      <c r="N21" s="147">
        <f t="shared" si="4"/>
        <v>0</v>
      </c>
      <c r="O21" s="148">
        <f>IF(I21=0,0,VLOOKUP(L21,Tarifa1,3))</f>
        <v>0</v>
      </c>
      <c r="P21" s="147">
        <f t="shared" si="6"/>
        <v>0</v>
      </c>
      <c r="Q21" s="147">
        <f>IF(I21=0,0,VLOOKUP(L21,Tarifa1,2))</f>
        <v>0</v>
      </c>
      <c r="R21" s="147">
        <f t="shared" si="8"/>
        <v>0</v>
      </c>
      <c r="S21" s="147">
        <f>IF(I21=0,0,VLOOKUP(L21,Credito1,2))</f>
        <v>0</v>
      </c>
      <c r="T21" s="147">
        <f t="shared" si="10"/>
        <v>0</v>
      </c>
      <c r="U21" s="149"/>
      <c r="V21" s="145"/>
      <c r="W21" s="150"/>
      <c r="X21" s="151"/>
      <c r="Y21" s="145"/>
      <c r="Z21" s="152"/>
      <c r="AA21" s="153"/>
    </row>
    <row r="22" spans="2:27">
      <c r="B22" s="172"/>
      <c r="C22" s="172"/>
      <c r="D22" s="172"/>
      <c r="E22" s="173"/>
      <c r="F22" s="172"/>
      <c r="G22" s="174"/>
      <c r="H22" s="174"/>
      <c r="I22" s="174"/>
      <c r="J22" s="175"/>
      <c r="K22" s="176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</row>
    <row r="23" spans="2:27" ht="15.75" thickBot="1">
      <c r="B23" s="323" t="s">
        <v>143</v>
      </c>
      <c r="C23" s="324"/>
      <c r="D23" s="324"/>
      <c r="E23" s="324"/>
      <c r="F23" s="325"/>
      <c r="G23" s="178">
        <f>SUM(G11:G21)</f>
        <v>96277.48000000001</v>
      </c>
      <c r="H23" s="178"/>
      <c r="I23" s="178">
        <f>SUM(I11:I21)</f>
        <v>96277.48000000001</v>
      </c>
      <c r="J23" s="179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79"/>
      <c r="V23" s="178"/>
      <c r="W23" s="178">
        <f>SUM(W11:W21)</f>
        <v>15192.170880000001</v>
      </c>
      <c r="X23" s="178"/>
      <c r="Y23" s="178">
        <f>SUM(Y11:Y21)</f>
        <v>15192.170880000001</v>
      </c>
      <c r="Z23" s="178">
        <f>SUM(Z11:Z21)</f>
        <v>81085.309120000005</v>
      </c>
    </row>
    <row r="24" spans="2:27" ht="13.5" thickTop="1"/>
    <row r="26" spans="2:27">
      <c r="C26" s="182" t="s">
        <v>255</v>
      </c>
      <c r="Y26" s="182" t="s">
        <v>255</v>
      </c>
    </row>
    <row r="27" spans="2:27">
      <c r="C27" s="182" t="s">
        <v>237</v>
      </c>
      <c r="G27" s="182"/>
      <c r="Y27" s="182" t="s">
        <v>238</v>
      </c>
      <c r="AA27" s="182"/>
    </row>
    <row r="28" spans="2:27">
      <c r="C28" s="183" t="s">
        <v>67</v>
      </c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Y28" s="183" t="s">
        <v>239</v>
      </c>
      <c r="AA28" s="183"/>
    </row>
    <row r="30" spans="2:27">
      <c r="C30" s="191"/>
      <c r="E30" s="182"/>
      <c r="X30" s="181"/>
    </row>
    <row r="31" spans="2:27">
      <c r="B31" s="183"/>
      <c r="C31" s="192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4"/>
    </row>
    <row r="35" spans="3:27">
      <c r="C35" s="182"/>
      <c r="G35" s="182"/>
      <c r="AA35" s="182"/>
    </row>
    <row r="36" spans="3:27"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</row>
  </sheetData>
  <sheetProtection selectLockedCells="1" selectUnlockedCells="1"/>
  <mergeCells count="8">
    <mergeCell ref="W7:W8"/>
    <mergeCell ref="B23:F23"/>
    <mergeCell ref="B3:AA3"/>
    <mergeCell ref="B4:AA4"/>
    <mergeCell ref="B5:AA5"/>
    <mergeCell ref="G6:I6"/>
    <mergeCell ref="M6:R6"/>
    <mergeCell ref="W6:Y6"/>
  </mergeCells>
  <phoneticPr fontId="18" type="noConversion"/>
  <pageMargins left="0.70866141732283472" right="0.70866141732283472" top="0.74803149606299213" bottom="0.74803149606299213" header="0.31496062992125984" footer="0.31496062992125984"/>
  <pageSetup paperSize="5" scale="7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3:AG147"/>
  <sheetViews>
    <sheetView topLeftCell="D94" workbookViewId="0">
      <selection activeCell="E124" sqref="E124"/>
    </sheetView>
  </sheetViews>
  <sheetFormatPr baseColWidth="10" defaultRowHeight="12.75"/>
  <cols>
    <col min="1" max="1" width="10.28515625" style="120" customWidth="1"/>
    <col min="2" max="2" width="5.28515625" style="120" customWidth="1"/>
    <col min="3" max="3" width="3.85546875" style="120" hidden="1" customWidth="1"/>
    <col min="4" max="4" width="4.7109375" style="120" customWidth="1"/>
    <col min="5" max="5" width="40.140625" style="120" bestFit="1" customWidth="1"/>
    <col min="6" max="6" width="31.85546875" style="120" bestFit="1" customWidth="1"/>
    <col min="7" max="7" width="6.5703125" style="120" hidden="1" customWidth="1"/>
    <col min="8" max="8" width="9.28515625" style="120" hidden="1" customWidth="1"/>
    <col min="9" max="9" width="12.140625" style="120" customWidth="1"/>
    <col min="10" max="10" width="6.85546875" style="120" bestFit="1" customWidth="1"/>
    <col min="11" max="11" width="11.5703125" style="120" customWidth="1"/>
    <col min="12" max="12" width="8.7109375" style="120" hidden="1" customWidth="1"/>
    <col min="13" max="13" width="13.140625" style="120" hidden="1" customWidth="1"/>
    <col min="14" max="16" width="11" style="120" hidden="1" customWidth="1"/>
    <col min="17" max="18" width="13.140625" style="120" hidden="1" customWidth="1"/>
    <col min="19" max="19" width="10.5703125" style="120" hidden="1" customWidth="1"/>
    <col min="20" max="20" width="10.42578125" style="120" hidden="1" customWidth="1"/>
    <col min="21" max="21" width="13.140625" style="120" hidden="1" customWidth="1"/>
    <col min="22" max="22" width="11.5703125" style="120" hidden="1" customWidth="1"/>
    <col min="23" max="23" width="7.7109375" style="120" hidden="1" customWidth="1"/>
    <col min="24" max="24" width="9.28515625" style="120" customWidth="1"/>
    <col min="25" max="25" width="11.7109375" style="120" customWidth="1"/>
    <col min="26" max="26" width="8.42578125" style="120" customWidth="1"/>
    <col min="27" max="27" width="11" style="120" customWidth="1"/>
    <col min="28" max="28" width="12" style="120" customWidth="1"/>
    <col min="29" max="29" width="48.7109375" style="120" customWidth="1"/>
    <col min="30" max="16384" width="11.42578125" style="120"/>
  </cols>
  <sheetData>
    <row r="3" spans="4:33" ht="18" customHeight="1">
      <c r="D3" s="333" t="s">
        <v>68</v>
      </c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4"/>
      <c r="W3" s="334"/>
      <c r="X3" s="334"/>
      <c r="Y3" s="334"/>
      <c r="Z3" s="334"/>
      <c r="AA3" s="334"/>
      <c r="AB3" s="334"/>
      <c r="AC3" s="334"/>
    </row>
    <row r="4" spans="4:33" ht="18" customHeight="1">
      <c r="D4" s="331" t="str">
        <f>REGIDORES!B4</f>
        <v>SUELDOS 16 AL 30 DE NOVIEMBRE DE 2016</v>
      </c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</row>
    <row r="5" spans="4:33" ht="18" customHeight="1">
      <c r="D5" s="331" t="s">
        <v>70</v>
      </c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</row>
    <row r="6" spans="4:33">
      <c r="D6" s="121"/>
      <c r="E6" s="121"/>
      <c r="F6" s="121"/>
      <c r="G6" s="122" t="s">
        <v>22</v>
      </c>
      <c r="H6" s="122" t="s">
        <v>6</v>
      </c>
      <c r="I6" s="328" t="s">
        <v>1</v>
      </c>
      <c r="J6" s="329"/>
      <c r="K6" s="330"/>
      <c r="L6" s="123"/>
      <c r="M6" s="122" t="s">
        <v>25</v>
      </c>
      <c r="N6" s="124"/>
      <c r="O6" s="328" t="s">
        <v>9</v>
      </c>
      <c r="P6" s="329"/>
      <c r="Q6" s="329"/>
      <c r="R6" s="329"/>
      <c r="S6" s="329"/>
      <c r="T6" s="330"/>
      <c r="U6" s="122" t="s">
        <v>29</v>
      </c>
      <c r="V6" s="122" t="s">
        <v>10</v>
      </c>
      <c r="W6" s="123"/>
      <c r="X6" s="122" t="s">
        <v>53</v>
      </c>
      <c r="Y6" s="328" t="s">
        <v>2</v>
      </c>
      <c r="Z6" s="329"/>
      <c r="AA6" s="330"/>
      <c r="AB6" s="122" t="s">
        <v>0</v>
      </c>
      <c r="AC6" s="125"/>
    </row>
    <row r="7" spans="4:33">
      <c r="D7" s="126" t="s">
        <v>21</v>
      </c>
      <c r="E7" s="126"/>
      <c r="F7" s="126"/>
      <c r="G7" s="127" t="s">
        <v>23</v>
      </c>
      <c r="H7" s="128" t="s">
        <v>24</v>
      </c>
      <c r="I7" s="122" t="s">
        <v>6</v>
      </c>
      <c r="J7" s="122" t="s">
        <v>61</v>
      </c>
      <c r="K7" s="122" t="s">
        <v>27</v>
      </c>
      <c r="L7" s="123"/>
      <c r="M7" s="128" t="s">
        <v>26</v>
      </c>
      <c r="N7" s="124" t="s">
        <v>31</v>
      </c>
      <c r="O7" s="124" t="s">
        <v>12</v>
      </c>
      <c r="P7" s="124" t="s">
        <v>33</v>
      </c>
      <c r="Q7" s="124" t="s">
        <v>35</v>
      </c>
      <c r="R7" s="124" t="s">
        <v>36</v>
      </c>
      <c r="S7" s="124" t="s">
        <v>14</v>
      </c>
      <c r="T7" s="124" t="s">
        <v>10</v>
      </c>
      <c r="U7" s="128" t="s">
        <v>39</v>
      </c>
      <c r="V7" s="128" t="s">
        <v>40</v>
      </c>
      <c r="W7" s="123"/>
      <c r="X7" s="128" t="s">
        <v>30</v>
      </c>
      <c r="Y7" s="321" t="s">
        <v>240</v>
      </c>
      <c r="Z7" s="122" t="s">
        <v>57</v>
      </c>
      <c r="AA7" s="122" t="s">
        <v>7</v>
      </c>
      <c r="AB7" s="128" t="s">
        <v>4</v>
      </c>
      <c r="AC7" s="129" t="s">
        <v>60</v>
      </c>
    </row>
    <row r="8" spans="4:33" ht="15">
      <c r="D8" s="130"/>
      <c r="E8" s="131"/>
      <c r="F8" s="131" t="s">
        <v>65</v>
      </c>
      <c r="G8" s="128"/>
      <c r="H8" s="128"/>
      <c r="I8" s="128" t="s">
        <v>46</v>
      </c>
      <c r="J8" s="128" t="s">
        <v>62</v>
      </c>
      <c r="K8" s="128" t="s">
        <v>28</v>
      </c>
      <c r="L8" s="123"/>
      <c r="M8" s="128" t="s">
        <v>42</v>
      </c>
      <c r="N8" s="122" t="s">
        <v>32</v>
      </c>
      <c r="O8" s="122" t="s">
        <v>13</v>
      </c>
      <c r="P8" s="122" t="s">
        <v>34</v>
      </c>
      <c r="Q8" s="122" t="s">
        <v>34</v>
      </c>
      <c r="R8" s="122" t="s">
        <v>37</v>
      </c>
      <c r="S8" s="122" t="s">
        <v>15</v>
      </c>
      <c r="T8" s="122" t="s">
        <v>38</v>
      </c>
      <c r="U8" s="128" t="s">
        <v>19</v>
      </c>
      <c r="V8" s="132" t="s">
        <v>235</v>
      </c>
      <c r="W8" s="133"/>
      <c r="X8" s="128" t="s">
        <v>52</v>
      </c>
      <c r="Y8" s="322"/>
      <c r="Z8" s="128"/>
      <c r="AA8" s="128" t="s">
        <v>43</v>
      </c>
      <c r="AB8" s="128" t="s">
        <v>5</v>
      </c>
      <c r="AC8" s="134"/>
    </row>
    <row r="9" spans="4:33" ht="15">
      <c r="D9" s="126"/>
      <c r="E9" s="135" t="s">
        <v>73</v>
      </c>
      <c r="F9" s="135" t="s">
        <v>64</v>
      </c>
      <c r="G9" s="124"/>
      <c r="H9" s="124"/>
      <c r="I9" s="124"/>
      <c r="J9" s="124"/>
      <c r="K9" s="124"/>
      <c r="L9" s="136"/>
      <c r="M9" s="124"/>
      <c r="N9" s="124"/>
      <c r="O9" s="124"/>
      <c r="P9" s="124"/>
      <c r="Q9" s="124"/>
      <c r="R9" s="124"/>
      <c r="S9" s="124"/>
      <c r="T9" s="124"/>
      <c r="U9" s="124"/>
      <c r="V9" s="136"/>
      <c r="W9" s="136"/>
      <c r="X9" s="124"/>
      <c r="Y9" s="124"/>
      <c r="Z9" s="124"/>
      <c r="AA9" s="124"/>
      <c r="AB9" s="124"/>
      <c r="AC9" s="137"/>
    </row>
    <row r="10" spans="4:33" s="142" customFormat="1" ht="15">
      <c r="D10" s="138"/>
      <c r="E10" s="139" t="s">
        <v>79</v>
      </c>
      <c r="F10" s="139"/>
      <c r="G10" s="138"/>
      <c r="H10" s="138"/>
      <c r="I10" s="138"/>
      <c r="J10" s="138"/>
      <c r="K10" s="138"/>
      <c r="L10" s="140"/>
      <c r="M10" s="138"/>
      <c r="N10" s="138"/>
      <c r="O10" s="138"/>
      <c r="P10" s="138"/>
      <c r="Q10" s="138"/>
      <c r="R10" s="138"/>
      <c r="S10" s="138"/>
      <c r="T10" s="138"/>
      <c r="U10" s="138"/>
      <c r="V10" s="140"/>
      <c r="W10" s="140"/>
      <c r="X10" s="138"/>
      <c r="Y10" s="138"/>
      <c r="Z10" s="138"/>
      <c r="AA10" s="138"/>
      <c r="AB10" s="138"/>
      <c r="AC10" s="141"/>
    </row>
    <row r="11" spans="4:33" ht="24.95" customHeight="1">
      <c r="D11" s="51">
        <v>1</v>
      </c>
      <c r="E11" s="50" t="s">
        <v>231</v>
      </c>
      <c r="F11" s="50" t="s">
        <v>72</v>
      </c>
      <c r="G11" s="51">
        <v>15</v>
      </c>
      <c r="H11" s="143">
        <f>I11/15</f>
        <v>1243.0319999999999</v>
      </c>
      <c r="I11" s="144">
        <v>18645.48</v>
      </c>
      <c r="J11" s="145">
        <v>0</v>
      </c>
      <c r="K11" s="145">
        <f>TRUNC(SUM(G11*H11)+J11,2)</f>
        <v>18645.48</v>
      </c>
      <c r="L11" s="146"/>
      <c r="M11" s="147">
        <v>0</v>
      </c>
      <c r="N11" s="147">
        <f>K11+M11</f>
        <v>18645.48</v>
      </c>
      <c r="O11" s="147">
        <f>IF(K11=0,0,VLOOKUP(N11,Tarifa1,1))</f>
        <v>16153.06</v>
      </c>
      <c r="P11" s="147">
        <f>N11-O11</f>
        <v>2492.42</v>
      </c>
      <c r="Q11" s="148">
        <f>VLOOKUP(N11,Tarifa1,3)</f>
        <v>0.3</v>
      </c>
      <c r="R11" s="147">
        <f>P11*Q11</f>
        <v>747.726</v>
      </c>
      <c r="S11" s="147">
        <f>VLOOKUP(N11,Tarifa1,2)</f>
        <v>3030.6</v>
      </c>
      <c r="T11" s="147">
        <f>R11+S11</f>
        <v>3778.326</v>
      </c>
      <c r="U11" s="147">
        <f>VLOOKUP(N11,Credito1,2)</f>
        <v>0</v>
      </c>
      <c r="V11" s="147">
        <f>T11-U11</f>
        <v>3778.326</v>
      </c>
      <c r="W11" s="149"/>
      <c r="X11" s="145">
        <f>-IF(V11&gt;0,0,V11)</f>
        <v>0</v>
      </c>
      <c r="Y11" s="150">
        <f>IF(V11&lt;0,0,V11)</f>
        <v>3778.326</v>
      </c>
      <c r="Z11" s="151">
        <v>0</v>
      </c>
      <c r="AA11" s="145">
        <f>SUM(Y11:Z11)</f>
        <v>3778.326</v>
      </c>
      <c r="AB11" s="152">
        <f>K11+X11-AA11</f>
        <v>14867.153999999999</v>
      </c>
      <c r="AC11" s="153"/>
    </row>
    <row r="12" spans="4:33" ht="24.95" customHeight="1">
      <c r="D12" s="51">
        <v>2</v>
      </c>
      <c r="E12" s="50" t="s">
        <v>151</v>
      </c>
      <c r="F12" s="50" t="s">
        <v>161</v>
      </c>
      <c r="G12" s="51">
        <v>15</v>
      </c>
      <c r="H12" s="143">
        <f t="shared" ref="H12:H34" si="0">I12/15</f>
        <v>333.33333333333331</v>
      </c>
      <c r="I12" s="144">
        <v>5000</v>
      </c>
      <c r="J12" s="145">
        <v>0</v>
      </c>
      <c r="K12" s="145">
        <f t="shared" ref="K12:K34" si="1">TRUNC(SUM(G12*H12)+J12,2)</f>
        <v>5000</v>
      </c>
      <c r="L12" s="146"/>
      <c r="M12" s="147">
        <v>0</v>
      </c>
      <c r="N12" s="147">
        <f>K12+M12</f>
        <v>5000</v>
      </c>
      <c r="O12" s="147">
        <f>IF(K12=0,0,VLOOKUP(N12,Tarifa1,1))</f>
        <v>4244.1099999999997</v>
      </c>
      <c r="P12" s="147">
        <f>N12-O12</f>
        <v>755.89000000000033</v>
      </c>
      <c r="Q12" s="148">
        <f>VLOOKUP(N12,Tarifa1,3)</f>
        <v>0.1792</v>
      </c>
      <c r="R12" s="147">
        <f>P12*Q12</f>
        <v>135.45548800000006</v>
      </c>
      <c r="S12" s="147">
        <f>VLOOKUP(N12,Tarifa1,2)</f>
        <v>388.05</v>
      </c>
      <c r="T12" s="147">
        <f>R12+S12</f>
        <v>523.50548800000001</v>
      </c>
      <c r="U12" s="147">
        <f>VLOOKUP(N12,Credito1,2)</f>
        <v>0</v>
      </c>
      <c r="V12" s="147">
        <f>T12-U12</f>
        <v>523.50548800000001</v>
      </c>
      <c r="W12" s="149"/>
      <c r="X12" s="145">
        <f>-IF(V12&gt;0,0,V12)</f>
        <v>0</v>
      </c>
      <c r="Y12" s="150">
        <f>IF(V12&lt;0,0,V12)</f>
        <v>523.50548800000001</v>
      </c>
      <c r="Z12" s="151">
        <v>0</v>
      </c>
      <c r="AA12" s="145">
        <f>SUM(Y12:Z12)</f>
        <v>523.50548800000001</v>
      </c>
      <c r="AB12" s="152">
        <f>K12+X12-AA12</f>
        <v>4476.4945120000002</v>
      </c>
      <c r="AC12" s="153"/>
    </row>
    <row r="13" spans="4:33" ht="24.95" customHeight="1">
      <c r="D13" s="51">
        <v>3</v>
      </c>
      <c r="E13" s="50" t="s">
        <v>195</v>
      </c>
      <c r="F13" s="50" t="s">
        <v>162</v>
      </c>
      <c r="G13" s="51">
        <v>15</v>
      </c>
      <c r="H13" s="143">
        <f t="shared" si="0"/>
        <v>135.4</v>
      </c>
      <c r="I13" s="144">
        <v>2031</v>
      </c>
      <c r="J13" s="145">
        <v>0</v>
      </c>
      <c r="K13" s="145">
        <f t="shared" si="1"/>
        <v>2031</v>
      </c>
      <c r="L13" s="146"/>
      <c r="M13" s="147">
        <v>0</v>
      </c>
      <c r="N13" s="147">
        <f>K13+M13</f>
        <v>2031</v>
      </c>
      <c r="O13" s="147">
        <f>IF(K13=0,0,VLOOKUP(N13,Tarifa1,1))</f>
        <v>244.81</v>
      </c>
      <c r="P13" s="147">
        <f>N13-O13</f>
        <v>1786.19</v>
      </c>
      <c r="Q13" s="148">
        <f>VLOOKUP(N13,Tarifa1,3)</f>
        <v>6.4000000000000001E-2</v>
      </c>
      <c r="R13" s="147">
        <f>P13*Q13</f>
        <v>114.31616000000001</v>
      </c>
      <c r="S13" s="147">
        <f>VLOOKUP(N13,Tarifa1,2)</f>
        <v>4.6500000000000004</v>
      </c>
      <c r="T13" s="147">
        <f>R13+S13</f>
        <v>118.96616000000002</v>
      </c>
      <c r="U13" s="147">
        <f>VLOOKUP(N13,Credito1,2)</f>
        <v>188.7</v>
      </c>
      <c r="V13" s="147">
        <f>T13-U13</f>
        <v>-69.733839999999972</v>
      </c>
      <c r="W13" s="149"/>
      <c r="X13" s="145">
        <f>-IF(V13&gt;0,0,V13)</f>
        <v>69.733839999999972</v>
      </c>
      <c r="Y13" s="150">
        <f>IF(V13&lt;0,0,V13)</f>
        <v>0</v>
      </c>
      <c r="Z13" s="151">
        <v>0</v>
      </c>
      <c r="AA13" s="145">
        <f>SUM(Y13:Z13)</f>
        <v>0</v>
      </c>
      <c r="AB13" s="152">
        <f>K13+X13-AA13</f>
        <v>2100.7338399999999</v>
      </c>
      <c r="AC13" s="153"/>
    </row>
    <row r="14" spans="4:33" ht="24.95" customHeight="1">
      <c r="D14" s="51">
        <v>4</v>
      </c>
      <c r="E14" s="50" t="s">
        <v>74</v>
      </c>
      <c r="F14" s="50" t="s">
        <v>75</v>
      </c>
      <c r="G14" s="51">
        <v>15</v>
      </c>
      <c r="H14" s="143">
        <f t="shared" si="0"/>
        <v>204.2</v>
      </c>
      <c r="I14" s="144">
        <v>3063</v>
      </c>
      <c r="J14" s="145">
        <v>0</v>
      </c>
      <c r="K14" s="145">
        <f t="shared" si="1"/>
        <v>3063</v>
      </c>
      <c r="L14" s="146"/>
      <c r="M14" s="147">
        <v>0</v>
      </c>
      <c r="N14" s="147">
        <f>K14+M14</f>
        <v>3063</v>
      </c>
      <c r="O14" s="147">
        <f>IF(K14=0,0,VLOOKUP(N14,Tarifa1,1))</f>
        <v>2077.5100000000002</v>
      </c>
      <c r="P14" s="147">
        <f>N14-O14</f>
        <v>985.48999999999978</v>
      </c>
      <c r="Q14" s="148">
        <f>VLOOKUP(N14,Tarifa1,3)</f>
        <v>0.10879999999999999</v>
      </c>
      <c r="R14" s="147">
        <f>P14*Q14</f>
        <v>107.22131199999997</v>
      </c>
      <c r="S14" s="147">
        <f>VLOOKUP(N14,Tarifa1,2)</f>
        <v>121.95</v>
      </c>
      <c r="T14" s="147">
        <f>R14+S14</f>
        <v>229.17131199999997</v>
      </c>
      <c r="U14" s="147">
        <f>VLOOKUP(N14,Credito1,2)</f>
        <v>145.35</v>
      </c>
      <c r="V14" s="147">
        <f>T14-U14</f>
        <v>83.821311999999978</v>
      </c>
      <c r="W14" s="149"/>
      <c r="X14" s="145">
        <f>-IF(V14&gt;0,0,V14)</f>
        <v>0</v>
      </c>
      <c r="Y14" s="150">
        <f>IF(V14&lt;0,0,V14)</f>
        <v>83.821311999999978</v>
      </c>
      <c r="Z14" s="151">
        <v>0</v>
      </c>
      <c r="AA14" s="145">
        <f>SUM(Y14:Z14)</f>
        <v>83.821311999999978</v>
      </c>
      <c r="AB14" s="152">
        <f>K14+X14-AA14</f>
        <v>2979.178688</v>
      </c>
      <c r="AC14" s="153"/>
      <c r="AG14" s="181"/>
    </row>
    <row r="15" spans="4:33" ht="24.95" customHeight="1">
      <c r="D15" s="51">
        <v>5</v>
      </c>
      <c r="E15" s="50" t="s">
        <v>76</v>
      </c>
      <c r="F15" s="50" t="s">
        <v>77</v>
      </c>
      <c r="G15" s="51">
        <v>15</v>
      </c>
      <c r="H15" s="143">
        <f t="shared" si="0"/>
        <v>109.6</v>
      </c>
      <c r="I15" s="144">
        <v>1644</v>
      </c>
      <c r="J15" s="145">
        <v>0</v>
      </c>
      <c r="K15" s="145">
        <f t="shared" si="1"/>
        <v>1644</v>
      </c>
      <c r="L15" s="146"/>
      <c r="M15" s="147">
        <v>0</v>
      </c>
      <c r="N15" s="147">
        <f>K15+M15</f>
        <v>1644</v>
      </c>
      <c r="O15" s="147">
        <f>IF(K15=0,0,VLOOKUP(N15,Tarifa1,1))</f>
        <v>244.81</v>
      </c>
      <c r="P15" s="147">
        <f>N15-O15</f>
        <v>1399.19</v>
      </c>
      <c r="Q15" s="148">
        <f>VLOOKUP(N15,Tarifa1,3)</f>
        <v>6.4000000000000001E-2</v>
      </c>
      <c r="R15" s="147">
        <f>P15*Q15</f>
        <v>89.54816000000001</v>
      </c>
      <c r="S15" s="147">
        <f>VLOOKUP(N15,Tarifa1,2)</f>
        <v>4.6500000000000004</v>
      </c>
      <c r="T15" s="147">
        <f>R15+S15</f>
        <v>94.198160000000016</v>
      </c>
      <c r="U15" s="147">
        <f>VLOOKUP(N15,Credito1,2)</f>
        <v>200.7</v>
      </c>
      <c r="V15" s="147">
        <f>T15-U15</f>
        <v>-106.50183999999997</v>
      </c>
      <c r="W15" s="149"/>
      <c r="X15" s="145">
        <f>-IF(V15&gt;0,0,V15)</f>
        <v>106.50183999999997</v>
      </c>
      <c r="Y15" s="150">
        <f>IF(V15&lt;0,0,V15)</f>
        <v>0</v>
      </c>
      <c r="Z15" s="151">
        <v>0</v>
      </c>
      <c r="AA15" s="145">
        <f>SUM(Y15:Z15)</f>
        <v>0</v>
      </c>
      <c r="AB15" s="152">
        <f>K15+X15-AA15</f>
        <v>1750.5018399999999</v>
      </c>
      <c r="AC15" s="153"/>
      <c r="AG15" s="181"/>
    </row>
    <row r="16" spans="4:33" ht="24.95" customHeight="1">
      <c r="D16" s="51"/>
      <c r="E16" s="67" t="s">
        <v>305</v>
      </c>
      <c r="F16" s="185"/>
      <c r="G16" s="54"/>
      <c r="H16" s="145"/>
      <c r="I16" s="146"/>
      <c r="J16" s="154"/>
      <c r="K16" s="154"/>
      <c r="L16" s="147"/>
      <c r="M16" s="147"/>
      <c r="N16" s="148"/>
      <c r="O16" s="147"/>
      <c r="P16" s="147"/>
      <c r="Q16" s="147"/>
      <c r="R16" s="147"/>
      <c r="S16" s="147"/>
      <c r="T16" s="149"/>
      <c r="U16" s="145"/>
      <c r="V16" s="150"/>
      <c r="W16" s="151"/>
      <c r="X16" s="145"/>
      <c r="Y16" s="150"/>
      <c r="Z16" s="151"/>
      <c r="AA16" s="145"/>
      <c r="AB16" s="152"/>
      <c r="AC16" s="153"/>
      <c r="AG16" s="181"/>
    </row>
    <row r="17" spans="4:33" ht="24.95" customHeight="1">
      <c r="D17" s="51">
        <v>6</v>
      </c>
      <c r="E17" s="50" t="s">
        <v>197</v>
      </c>
      <c r="F17" s="50" t="s">
        <v>78</v>
      </c>
      <c r="G17" s="51">
        <v>15</v>
      </c>
      <c r="H17" s="143">
        <f t="shared" si="0"/>
        <v>555.20000000000005</v>
      </c>
      <c r="I17" s="144">
        <v>8328</v>
      </c>
      <c r="J17" s="145">
        <v>0</v>
      </c>
      <c r="K17" s="145">
        <f t="shared" si="1"/>
        <v>8328</v>
      </c>
      <c r="L17" s="146"/>
      <c r="M17" s="147">
        <v>0</v>
      </c>
      <c r="N17" s="147">
        <f>K17+M17</f>
        <v>8328</v>
      </c>
      <c r="O17" s="147">
        <f>IF(K17=0,0,VLOOKUP(N17,Tarifa1,1))</f>
        <v>5081.41</v>
      </c>
      <c r="P17" s="147">
        <f>N17-O17</f>
        <v>3246.59</v>
      </c>
      <c r="Q17" s="148">
        <f>VLOOKUP(N17,Tarifa1,3)</f>
        <v>0.21360000000000001</v>
      </c>
      <c r="R17" s="147">
        <f>P17*Q17</f>
        <v>693.47162400000002</v>
      </c>
      <c r="S17" s="147">
        <f>VLOOKUP(N17,Tarifa1,2)</f>
        <v>538.20000000000005</v>
      </c>
      <c r="T17" s="147">
        <f>R17+S17</f>
        <v>1231.6716240000001</v>
      </c>
      <c r="U17" s="147">
        <f>VLOOKUP(N17,Credito1,2)</f>
        <v>0</v>
      </c>
      <c r="V17" s="147">
        <f>T17-U17</f>
        <v>1231.6716240000001</v>
      </c>
      <c r="W17" s="149"/>
      <c r="X17" s="145">
        <v>0</v>
      </c>
      <c r="Y17" s="150">
        <f>IF(V17&lt;0,0,V17)</f>
        <v>1231.6716240000001</v>
      </c>
      <c r="Z17" s="151">
        <v>0</v>
      </c>
      <c r="AA17" s="145">
        <f>SUM(Y17:Z17)</f>
        <v>1231.6716240000001</v>
      </c>
      <c r="AB17" s="152">
        <f>K17+X17-AA17</f>
        <v>7096.3283759999995</v>
      </c>
      <c r="AC17" s="153"/>
    </row>
    <row r="18" spans="4:33" ht="24.95" customHeight="1">
      <c r="D18" s="51"/>
      <c r="E18" s="67" t="s">
        <v>198</v>
      </c>
      <c r="F18" s="50"/>
      <c r="G18" s="51"/>
      <c r="H18" s="143"/>
      <c r="I18" s="144"/>
      <c r="J18" s="145"/>
      <c r="K18" s="145"/>
      <c r="L18" s="146"/>
      <c r="M18" s="147"/>
      <c r="N18" s="147"/>
      <c r="O18" s="147"/>
      <c r="P18" s="147"/>
      <c r="Q18" s="148"/>
      <c r="R18" s="147"/>
      <c r="S18" s="147"/>
      <c r="T18" s="147"/>
      <c r="U18" s="147"/>
      <c r="V18" s="147"/>
      <c r="W18" s="149"/>
      <c r="X18" s="145"/>
      <c r="Y18" s="150"/>
      <c r="Z18" s="151"/>
      <c r="AA18" s="145"/>
      <c r="AB18" s="152"/>
      <c r="AC18" s="153"/>
    </row>
    <row r="19" spans="4:33" ht="24.95" customHeight="1">
      <c r="D19" s="51">
        <v>7</v>
      </c>
      <c r="E19" s="251" t="s">
        <v>123</v>
      </c>
      <c r="F19" s="50" t="s">
        <v>144</v>
      </c>
      <c r="G19" s="51">
        <v>15</v>
      </c>
      <c r="H19" s="143">
        <f>I19/15</f>
        <v>123.53333333333333</v>
      </c>
      <c r="I19" s="144">
        <v>1853</v>
      </c>
      <c r="J19" s="145">
        <v>0</v>
      </c>
      <c r="K19" s="145">
        <f>TRUNC(SUM(G19*H19)+J19,2)</f>
        <v>1853</v>
      </c>
      <c r="L19" s="146"/>
      <c r="M19" s="147">
        <v>0</v>
      </c>
      <c r="N19" s="147">
        <f>K19+M19</f>
        <v>1853</v>
      </c>
      <c r="O19" s="147">
        <f>IF(K19=0,0,VLOOKUP(N19,Tarifa1,1))</f>
        <v>244.81</v>
      </c>
      <c r="P19" s="147">
        <f>N19-O19</f>
        <v>1608.19</v>
      </c>
      <c r="Q19" s="148">
        <f>VLOOKUP(N19,Tarifa1,3)</f>
        <v>6.4000000000000001E-2</v>
      </c>
      <c r="R19" s="147">
        <f>P19*Q19</f>
        <v>102.92416</v>
      </c>
      <c r="S19" s="147">
        <f>VLOOKUP(N19,Tarifa1,2)</f>
        <v>4.6500000000000004</v>
      </c>
      <c r="T19" s="147">
        <f>R19+S19</f>
        <v>107.57416000000001</v>
      </c>
      <c r="U19" s="147">
        <f>VLOOKUP(N19,Credito1,2)</f>
        <v>188.7</v>
      </c>
      <c r="V19" s="147">
        <f>T19-U19</f>
        <v>-81.125839999999982</v>
      </c>
      <c r="W19" s="149"/>
      <c r="X19" s="145">
        <v>81.13</v>
      </c>
      <c r="Y19" s="150">
        <v>0</v>
      </c>
      <c r="Z19" s="151">
        <v>0</v>
      </c>
      <c r="AA19" s="145">
        <f>SUM(Y19:Z19)</f>
        <v>0</v>
      </c>
      <c r="AB19" s="152">
        <f>K19+X19-AA19</f>
        <v>1934.13</v>
      </c>
      <c r="AC19" s="153"/>
    </row>
    <row r="20" spans="4:33" ht="24.95" customHeight="1">
      <c r="D20" s="51"/>
      <c r="E20" s="67" t="s">
        <v>80</v>
      </c>
      <c r="F20" s="50"/>
      <c r="G20" s="51"/>
      <c r="H20" s="143"/>
      <c r="I20" s="144"/>
      <c r="J20" s="145"/>
      <c r="K20" s="145"/>
      <c r="L20" s="146"/>
      <c r="M20" s="147"/>
      <c r="N20" s="147"/>
      <c r="O20" s="147"/>
      <c r="P20" s="147"/>
      <c r="Q20" s="148"/>
      <c r="R20" s="147"/>
      <c r="S20" s="147"/>
      <c r="T20" s="147"/>
      <c r="U20" s="147"/>
      <c r="V20" s="147"/>
      <c r="W20" s="149"/>
      <c r="X20" s="145"/>
      <c r="Y20" s="150"/>
      <c r="Z20" s="151"/>
      <c r="AA20" s="145"/>
      <c r="AB20" s="152"/>
      <c r="AC20" s="153"/>
    </row>
    <row r="21" spans="4:33" ht="24.95" customHeight="1">
      <c r="D21" s="51">
        <v>8</v>
      </c>
      <c r="E21" s="50" t="s">
        <v>199</v>
      </c>
      <c r="F21" s="50" t="s">
        <v>82</v>
      </c>
      <c r="G21" s="51">
        <v>15</v>
      </c>
      <c r="H21" s="143">
        <f t="shared" si="0"/>
        <v>216.26666666666668</v>
      </c>
      <c r="I21" s="144">
        <v>3244</v>
      </c>
      <c r="J21" s="145">
        <v>0</v>
      </c>
      <c r="K21" s="145">
        <f t="shared" si="1"/>
        <v>3244</v>
      </c>
      <c r="L21" s="146"/>
      <c r="M21" s="147">
        <v>0</v>
      </c>
      <c r="N21" s="147">
        <f>K21+M21</f>
        <v>3244</v>
      </c>
      <c r="O21" s="147">
        <f>IF(K21=0,0,VLOOKUP(N21,Tarifa1,1))</f>
        <v>2077.5100000000002</v>
      </c>
      <c r="P21" s="147">
        <f>N21-O21</f>
        <v>1166.4899999999998</v>
      </c>
      <c r="Q21" s="148">
        <f>VLOOKUP(N21,Tarifa1,3)</f>
        <v>0.10879999999999999</v>
      </c>
      <c r="R21" s="147">
        <f>P21*Q21</f>
        <v>126.91411199999997</v>
      </c>
      <c r="S21" s="147">
        <f>VLOOKUP(N21,Tarifa1,2)</f>
        <v>121.95</v>
      </c>
      <c r="T21" s="147">
        <f>R21+S21</f>
        <v>248.86411199999998</v>
      </c>
      <c r="U21" s="147">
        <f>VLOOKUP(N21,Credito1,2)</f>
        <v>125.1</v>
      </c>
      <c r="V21" s="147">
        <f>T21-U21</f>
        <v>123.76411199999998</v>
      </c>
      <c r="W21" s="149"/>
      <c r="X21" s="145">
        <f>-IF(V21&gt;0,0,V21)</f>
        <v>0</v>
      </c>
      <c r="Y21" s="150">
        <f>IF(V21&lt;0,0,V21)</f>
        <v>123.76411199999998</v>
      </c>
      <c r="Z21" s="151">
        <v>0</v>
      </c>
      <c r="AA21" s="145">
        <f>SUM(Y21:Z21)</f>
        <v>123.76411199999998</v>
      </c>
      <c r="AB21" s="152">
        <f>K21+X21-AA21</f>
        <v>3120.2358880000002</v>
      </c>
      <c r="AC21" s="153"/>
      <c r="AG21" s="181"/>
    </row>
    <row r="22" spans="4:33" ht="24.95" customHeight="1">
      <c r="D22" s="51">
        <v>9</v>
      </c>
      <c r="E22" s="50" t="s">
        <v>301</v>
      </c>
      <c r="F22" s="50" t="s">
        <v>152</v>
      </c>
      <c r="G22" s="51">
        <v>15</v>
      </c>
      <c r="H22" s="143">
        <f t="shared" si="0"/>
        <v>139.19999999999999</v>
      </c>
      <c r="I22" s="144">
        <v>2088</v>
      </c>
      <c r="J22" s="145">
        <v>0</v>
      </c>
      <c r="K22" s="145">
        <f t="shared" si="1"/>
        <v>2088</v>
      </c>
      <c r="L22" s="146"/>
      <c r="M22" s="147">
        <v>0</v>
      </c>
      <c r="N22" s="147">
        <f>K22+M22</f>
        <v>2088</v>
      </c>
      <c r="O22" s="147">
        <f>IF(K22=0,0,VLOOKUP(N22,Tarifa1,1))</f>
        <v>2077.5100000000002</v>
      </c>
      <c r="P22" s="147">
        <f>N22-O22</f>
        <v>10.489999999999782</v>
      </c>
      <c r="Q22" s="148">
        <f>VLOOKUP(N22,Tarifa1,3)</f>
        <v>0.10879999999999999</v>
      </c>
      <c r="R22" s="147">
        <f>P22*Q22</f>
        <v>1.1413119999999761</v>
      </c>
      <c r="S22" s="147">
        <f>VLOOKUP(N22,Tarifa1,2)</f>
        <v>121.95</v>
      </c>
      <c r="T22" s="147">
        <f>R22+S22</f>
        <v>123.09131199999997</v>
      </c>
      <c r="U22" s="147">
        <f>VLOOKUP(N22,Credito1,2)</f>
        <v>188.7</v>
      </c>
      <c r="V22" s="147">
        <f>T22-U22</f>
        <v>-65.608688000000015</v>
      </c>
      <c r="W22" s="149"/>
      <c r="X22" s="145">
        <f>-IF(V22&gt;0,0,V22)</f>
        <v>65.608688000000015</v>
      </c>
      <c r="Y22" s="150">
        <f>IF(V22&lt;0,0,V22)</f>
        <v>0</v>
      </c>
      <c r="Z22" s="151">
        <v>0</v>
      </c>
      <c r="AA22" s="145">
        <f>SUM(Y22:Z22)</f>
        <v>0</v>
      </c>
      <c r="AB22" s="152">
        <f>K22+X22-AA22</f>
        <v>2153.6086879999998</v>
      </c>
      <c r="AC22" s="153"/>
    </row>
    <row r="23" spans="4:33" ht="24.95" customHeight="1">
      <c r="D23" s="51"/>
      <c r="E23" s="67" t="s">
        <v>200</v>
      </c>
      <c r="F23" s="50"/>
      <c r="G23" s="51"/>
      <c r="H23" s="143"/>
      <c r="I23" s="144"/>
      <c r="J23" s="145"/>
      <c r="K23" s="145"/>
      <c r="L23" s="146"/>
      <c r="M23" s="147"/>
      <c r="N23" s="147"/>
      <c r="O23" s="147"/>
      <c r="P23" s="147"/>
      <c r="Q23" s="148"/>
      <c r="R23" s="147"/>
      <c r="S23" s="147"/>
      <c r="T23" s="147"/>
      <c r="U23" s="147"/>
      <c r="V23" s="147"/>
      <c r="W23" s="149"/>
      <c r="X23" s="145"/>
      <c r="Y23" s="150"/>
      <c r="Z23" s="151"/>
      <c r="AA23" s="145"/>
      <c r="AB23" s="152"/>
      <c r="AC23" s="153"/>
    </row>
    <row r="24" spans="4:33" ht="24.95" customHeight="1">
      <c r="D24" s="51">
        <v>10</v>
      </c>
      <c r="E24" s="50" t="s">
        <v>282</v>
      </c>
      <c r="F24" s="50" t="s">
        <v>201</v>
      </c>
      <c r="G24" s="51">
        <v>15</v>
      </c>
      <c r="H24" s="143">
        <f t="shared" si="0"/>
        <v>216.26666666666668</v>
      </c>
      <c r="I24" s="144">
        <v>3244</v>
      </c>
      <c r="J24" s="145">
        <v>0</v>
      </c>
      <c r="K24" s="145">
        <f t="shared" si="1"/>
        <v>3244</v>
      </c>
      <c r="L24" s="146"/>
      <c r="M24" s="147">
        <v>0</v>
      </c>
      <c r="N24" s="147">
        <f>K24+M24</f>
        <v>3244</v>
      </c>
      <c r="O24" s="147">
        <f>VLOOKUP(N24,Tarifa1,1)</f>
        <v>2077.5100000000002</v>
      </c>
      <c r="P24" s="147">
        <f>N24-O24</f>
        <v>1166.4899999999998</v>
      </c>
      <c r="Q24" s="148">
        <f>VLOOKUP(N24,Tarifa1,3)</f>
        <v>0.10879999999999999</v>
      </c>
      <c r="R24" s="147">
        <f>P24*Q24</f>
        <v>126.91411199999997</v>
      </c>
      <c r="S24" s="147">
        <f>VLOOKUP(N24,Tarifa1,2)</f>
        <v>121.95</v>
      </c>
      <c r="T24" s="147">
        <f>R24+S24</f>
        <v>248.86411199999998</v>
      </c>
      <c r="U24" s="147">
        <f>VLOOKUP(N24,Credito1,2)</f>
        <v>125.1</v>
      </c>
      <c r="V24" s="147">
        <f>T24-U24</f>
        <v>123.76411199999998</v>
      </c>
      <c r="W24" s="149"/>
      <c r="X24" s="145">
        <f>-IF(V24&gt;0,0,V24)</f>
        <v>0</v>
      </c>
      <c r="Y24" s="150">
        <f>IF(V24&lt;0,0,V24)</f>
        <v>123.76411199999998</v>
      </c>
      <c r="Z24" s="151">
        <v>0</v>
      </c>
      <c r="AA24" s="145">
        <f>SUM(Y24:Z24)</f>
        <v>123.76411199999998</v>
      </c>
      <c r="AB24" s="152">
        <f>K24+X24-AA24</f>
        <v>3120.2358880000002</v>
      </c>
      <c r="AC24" s="153"/>
      <c r="AG24" s="181"/>
    </row>
    <row r="25" spans="4:33" ht="24.95" customHeight="1">
      <c r="D25" s="51"/>
      <c r="E25" s="67" t="s">
        <v>183</v>
      </c>
      <c r="F25" s="50"/>
      <c r="G25" s="51"/>
      <c r="H25" s="143"/>
      <c r="I25" s="144"/>
      <c r="J25" s="145"/>
      <c r="K25" s="145"/>
      <c r="L25" s="146"/>
      <c r="M25" s="147"/>
      <c r="N25" s="147"/>
      <c r="O25" s="147"/>
      <c r="P25" s="147"/>
      <c r="Q25" s="148"/>
      <c r="R25" s="147"/>
      <c r="S25" s="147"/>
      <c r="T25" s="147"/>
      <c r="U25" s="147"/>
      <c r="V25" s="147"/>
      <c r="W25" s="149"/>
      <c r="X25" s="145"/>
      <c r="Y25" s="150"/>
      <c r="Z25" s="151"/>
      <c r="AA25" s="145"/>
      <c r="AB25" s="152"/>
      <c r="AC25" s="153"/>
    </row>
    <row r="26" spans="4:33" ht="24.95" customHeight="1">
      <c r="D26" s="51">
        <v>11</v>
      </c>
      <c r="E26" s="50" t="s">
        <v>202</v>
      </c>
      <c r="F26" s="50" t="s">
        <v>314</v>
      </c>
      <c r="G26" s="51">
        <v>15</v>
      </c>
      <c r="H26" s="143">
        <f t="shared" si="0"/>
        <v>216.26666666666668</v>
      </c>
      <c r="I26" s="144">
        <v>3244</v>
      </c>
      <c r="J26" s="145">
        <v>0</v>
      </c>
      <c r="K26" s="145">
        <f t="shared" si="1"/>
        <v>3244</v>
      </c>
      <c r="L26" s="146"/>
      <c r="M26" s="147">
        <v>0</v>
      </c>
      <c r="N26" s="147">
        <f>K26+M26</f>
        <v>3244</v>
      </c>
      <c r="O26" s="147">
        <f>VLOOKUP(N26,Tarifa1,1)</f>
        <v>2077.5100000000002</v>
      </c>
      <c r="P26" s="147">
        <f>N26-O26</f>
        <v>1166.4899999999998</v>
      </c>
      <c r="Q26" s="148">
        <f>VLOOKUP(N26,Tarifa1,3)</f>
        <v>0.10879999999999999</v>
      </c>
      <c r="R26" s="147">
        <f>P26*Q26</f>
        <v>126.91411199999997</v>
      </c>
      <c r="S26" s="147">
        <f>VLOOKUP(N26,Tarifa1,2)</f>
        <v>121.95</v>
      </c>
      <c r="T26" s="147">
        <f>R26+S26</f>
        <v>248.86411199999998</v>
      </c>
      <c r="U26" s="147">
        <f>VLOOKUP(N26,Credito1,2)</f>
        <v>125.1</v>
      </c>
      <c r="V26" s="147">
        <f>T26-U26</f>
        <v>123.76411199999998</v>
      </c>
      <c r="W26" s="149"/>
      <c r="X26" s="145">
        <f>-IF(V26&gt;0,0,V26)</f>
        <v>0</v>
      </c>
      <c r="Y26" s="150">
        <f>IF(V26&lt;0,0,V26)</f>
        <v>123.76411199999998</v>
      </c>
      <c r="Z26" s="151">
        <v>0</v>
      </c>
      <c r="AA26" s="145">
        <f>SUM(Y26:Z26)</f>
        <v>123.76411199999998</v>
      </c>
      <c r="AB26" s="152">
        <f>K26+X26-AA26</f>
        <v>3120.2358880000002</v>
      </c>
      <c r="AC26" s="153"/>
      <c r="AF26" s="181"/>
    </row>
    <row r="27" spans="4:33" ht="24.95" customHeight="1">
      <c r="D27" s="51">
        <v>12</v>
      </c>
      <c r="E27" s="50" t="s">
        <v>315</v>
      </c>
      <c r="F27" s="50" t="s">
        <v>145</v>
      </c>
      <c r="G27" s="51"/>
      <c r="H27" s="143"/>
      <c r="I27" s="144">
        <v>3244</v>
      </c>
      <c r="J27" s="145">
        <v>0</v>
      </c>
      <c r="K27" s="145">
        <v>3244</v>
      </c>
      <c r="L27" s="146"/>
      <c r="M27" s="147"/>
      <c r="N27" s="147"/>
      <c r="O27" s="147"/>
      <c r="P27" s="147"/>
      <c r="Q27" s="148"/>
      <c r="R27" s="147"/>
      <c r="S27" s="147"/>
      <c r="T27" s="147"/>
      <c r="U27" s="147"/>
      <c r="V27" s="147"/>
      <c r="W27" s="149"/>
      <c r="X27" s="145">
        <f>-IF(V27&gt;0,0,V27)</f>
        <v>0</v>
      </c>
      <c r="Y27" s="150">
        <v>123.76</v>
      </c>
      <c r="Z27" s="151">
        <v>0</v>
      </c>
      <c r="AA27" s="145">
        <f>SUM(Y27:Z27)</f>
        <v>123.76</v>
      </c>
      <c r="AB27" s="152">
        <f>K27+X27-AA27</f>
        <v>3120.24</v>
      </c>
      <c r="AC27" s="153"/>
      <c r="AF27" s="181"/>
    </row>
    <row r="28" spans="4:33" ht="24.95" customHeight="1">
      <c r="D28" s="51"/>
      <c r="E28" s="67" t="s">
        <v>154</v>
      </c>
      <c r="F28" s="50"/>
      <c r="G28" s="51"/>
      <c r="H28" s="143"/>
      <c r="I28" s="144"/>
      <c r="J28" s="145"/>
      <c r="K28" s="145"/>
      <c r="L28" s="146"/>
      <c r="M28" s="147"/>
      <c r="N28" s="147"/>
      <c r="O28" s="147"/>
      <c r="P28" s="147"/>
      <c r="Q28" s="148"/>
      <c r="R28" s="147"/>
      <c r="S28" s="147"/>
      <c r="T28" s="147"/>
      <c r="U28" s="147"/>
      <c r="V28" s="147"/>
      <c r="W28" s="149"/>
      <c r="X28" s="145"/>
      <c r="Y28" s="150"/>
      <c r="Z28" s="151"/>
      <c r="AA28" s="145"/>
      <c r="AB28" s="152"/>
      <c r="AC28" s="153"/>
    </row>
    <row r="29" spans="4:33" ht="24.95" customHeight="1">
      <c r="D29" s="51">
        <v>13</v>
      </c>
      <c r="E29" s="50" t="s">
        <v>203</v>
      </c>
      <c r="F29" s="50" t="s">
        <v>83</v>
      </c>
      <c r="G29" s="51">
        <v>15</v>
      </c>
      <c r="H29" s="143">
        <f t="shared" si="0"/>
        <v>171.66666666666666</v>
      </c>
      <c r="I29" s="144">
        <v>2575</v>
      </c>
      <c r="J29" s="145">
        <v>0</v>
      </c>
      <c r="K29" s="145">
        <f t="shared" si="1"/>
        <v>2575</v>
      </c>
      <c r="L29" s="146"/>
      <c r="M29" s="147">
        <v>0</v>
      </c>
      <c r="N29" s="147">
        <f>K29+M29</f>
        <v>2575</v>
      </c>
      <c r="O29" s="147">
        <f>VLOOKUP(N29,Tarifa1,1)</f>
        <v>2077.5100000000002</v>
      </c>
      <c r="P29" s="147">
        <f>N29-O29</f>
        <v>497.48999999999978</v>
      </c>
      <c r="Q29" s="148">
        <f>VLOOKUP(N29,Tarifa1,3)</f>
        <v>0.10879999999999999</v>
      </c>
      <c r="R29" s="147">
        <f>P29*Q29</f>
        <v>54.126911999999976</v>
      </c>
      <c r="S29" s="147">
        <f>VLOOKUP(N29,Tarifa1,2)</f>
        <v>121.95</v>
      </c>
      <c r="T29" s="147">
        <f>R29+S29</f>
        <v>176.07691199999999</v>
      </c>
      <c r="U29" s="147">
        <f>VLOOKUP(N29,Credito1,2)</f>
        <v>160.35</v>
      </c>
      <c r="V29" s="147">
        <f>T29-U29</f>
        <v>15.726911999999999</v>
      </c>
      <c r="W29" s="149"/>
      <c r="X29" s="145">
        <f>-IF(V29&gt;0,0,V29)</f>
        <v>0</v>
      </c>
      <c r="Y29" s="150">
        <f>IF(V29&lt;0,0,V29)</f>
        <v>15.726911999999999</v>
      </c>
      <c r="Z29" s="151">
        <v>0</v>
      </c>
      <c r="AA29" s="145">
        <f>SUM(Y29:Z29)</f>
        <v>15.726911999999999</v>
      </c>
      <c r="AB29" s="152">
        <f>K29+X29-AA29</f>
        <v>2559.2730879999999</v>
      </c>
      <c r="AC29" s="153"/>
      <c r="AF29" s="181"/>
    </row>
    <row r="30" spans="4:33" ht="24.95" customHeight="1">
      <c r="D30" s="51"/>
      <c r="E30" s="67" t="s">
        <v>84</v>
      </c>
      <c r="F30" s="50"/>
      <c r="G30" s="51"/>
      <c r="H30" s="143"/>
      <c r="I30" s="144"/>
      <c r="J30" s="145"/>
      <c r="K30" s="145"/>
      <c r="L30" s="146"/>
      <c r="M30" s="147"/>
      <c r="N30" s="147"/>
      <c r="O30" s="147"/>
      <c r="P30" s="147"/>
      <c r="Q30" s="148"/>
      <c r="R30" s="147"/>
      <c r="S30" s="147"/>
      <c r="T30" s="147"/>
      <c r="U30" s="147"/>
      <c r="V30" s="147"/>
      <c r="W30" s="149"/>
      <c r="X30" s="145"/>
      <c r="Y30" s="150"/>
      <c r="Z30" s="151"/>
      <c r="AA30" s="145"/>
      <c r="AB30" s="152"/>
      <c r="AC30" s="153"/>
    </row>
    <row r="31" spans="4:33" ht="24.95" customHeight="1">
      <c r="D31" s="51">
        <v>14</v>
      </c>
      <c r="E31" s="50" t="s">
        <v>209</v>
      </c>
      <c r="F31" s="50" t="s">
        <v>85</v>
      </c>
      <c r="G31" s="51">
        <v>15</v>
      </c>
      <c r="H31" s="143">
        <f t="shared" si="0"/>
        <v>222.73333333333332</v>
      </c>
      <c r="I31" s="144">
        <v>3341</v>
      </c>
      <c r="J31" s="145">
        <v>0</v>
      </c>
      <c r="K31" s="145">
        <f t="shared" si="1"/>
        <v>3341</v>
      </c>
      <c r="L31" s="146"/>
      <c r="M31" s="147">
        <v>0</v>
      </c>
      <c r="N31" s="147">
        <f>K31+M31</f>
        <v>3341</v>
      </c>
      <c r="O31" s="147">
        <f>VLOOKUP(N31,Tarifa1,1)</f>
        <v>2077.5100000000002</v>
      </c>
      <c r="P31" s="147">
        <f>N31-O31</f>
        <v>1263.4899999999998</v>
      </c>
      <c r="Q31" s="148">
        <f>VLOOKUP(N31,Tarifa1,3)</f>
        <v>0.10879999999999999</v>
      </c>
      <c r="R31" s="147">
        <f>P31*Q31</f>
        <v>137.46771199999998</v>
      </c>
      <c r="S31" s="147">
        <f>VLOOKUP(N31,Tarifa1,2)</f>
        <v>121.95</v>
      </c>
      <c r="T31" s="147">
        <f>R31+S31</f>
        <v>259.41771199999999</v>
      </c>
      <c r="U31" s="147">
        <f>VLOOKUP(N31,Credito1,2)</f>
        <v>125.1</v>
      </c>
      <c r="V31" s="147">
        <f>T31-U31</f>
        <v>134.317712</v>
      </c>
      <c r="W31" s="149"/>
      <c r="X31" s="145">
        <f>-IF(V31&gt;0,0,V31)</f>
        <v>0</v>
      </c>
      <c r="Y31" s="150">
        <f>IF(V31&lt;0,0,V31)</f>
        <v>134.317712</v>
      </c>
      <c r="Z31" s="151">
        <v>0</v>
      </c>
      <c r="AA31" s="145">
        <f>SUM(Y31:Z31)</f>
        <v>134.317712</v>
      </c>
      <c r="AB31" s="152">
        <f>K31+X31-AA31</f>
        <v>3206.682288</v>
      </c>
      <c r="AC31" s="153"/>
      <c r="AG31" s="181"/>
    </row>
    <row r="32" spans="4:33" ht="24.95" customHeight="1">
      <c r="D32" s="51">
        <v>15</v>
      </c>
      <c r="E32" s="50" t="s">
        <v>81</v>
      </c>
      <c r="F32" s="50" t="s">
        <v>155</v>
      </c>
      <c r="G32" s="51">
        <v>15</v>
      </c>
      <c r="H32" s="143">
        <f t="shared" si="0"/>
        <v>0</v>
      </c>
      <c r="I32" s="144">
        <v>0</v>
      </c>
      <c r="J32" s="145">
        <v>0</v>
      </c>
      <c r="K32" s="145">
        <f t="shared" si="1"/>
        <v>0</v>
      </c>
      <c r="L32" s="146"/>
      <c r="M32" s="147">
        <v>0</v>
      </c>
      <c r="N32" s="147">
        <f>K32+M32</f>
        <v>0</v>
      </c>
      <c r="O32" s="147" t="e">
        <f>VLOOKUP(N32,Tarifa1,1)</f>
        <v>#N/A</v>
      </c>
      <c r="P32" s="147" t="e">
        <f>N32-O32</f>
        <v>#N/A</v>
      </c>
      <c r="Q32" s="148" t="e">
        <f>VLOOKUP(N32,Tarifa1,3)</f>
        <v>#N/A</v>
      </c>
      <c r="R32" s="147" t="e">
        <f>P32*Q32</f>
        <v>#N/A</v>
      </c>
      <c r="S32" s="147" t="e">
        <f>VLOOKUP(N32,Tarifa1,2)</f>
        <v>#N/A</v>
      </c>
      <c r="T32" s="147" t="e">
        <f>R32+S32</f>
        <v>#N/A</v>
      </c>
      <c r="U32" s="147" t="e">
        <f>VLOOKUP(N32,Credito1,2)</f>
        <v>#N/A</v>
      </c>
      <c r="V32" s="147" t="e">
        <f>T32-U32</f>
        <v>#N/A</v>
      </c>
      <c r="W32" s="149"/>
      <c r="X32" s="145">
        <v>0</v>
      </c>
      <c r="Y32" s="150">
        <v>0</v>
      </c>
      <c r="Z32" s="151">
        <v>0</v>
      </c>
      <c r="AA32" s="145">
        <f>SUM(Y32:Z32)</f>
        <v>0</v>
      </c>
      <c r="AB32" s="152">
        <f>K32+X32-AA32</f>
        <v>0</v>
      </c>
      <c r="AC32" s="153"/>
    </row>
    <row r="33" spans="4:32" ht="24.95" customHeight="1">
      <c r="D33" s="51"/>
      <c r="E33" s="67" t="s">
        <v>164</v>
      </c>
      <c r="F33" s="50"/>
      <c r="G33" s="51"/>
      <c r="H33" s="143"/>
      <c r="I33" s="144"/>
      <c r="J33" s="145"/>
      <c r="K33" s="145"/>
      <c r="L33" s="146"/>
      <c r="M33" s="147"/>
      <c r="N33" s="147"/>
      <c r="O33" s="147"/>
      <c r="P33" s="147"/>
      <c r="Q33" s="148"/>
      <c r="R33" s="147"/>
      <c r="S33" s="147"/>
      <c r="T33" s="147"/>
      <c r="U33" s="147"/>
      <c r="V33" s="147"/>
      <c r="W33" s="149"/>
      <c r="X33" s="145"/>
      <c r="Y33" s="150"/>
      <c r="Z33" s="151"/>
      <c r="AA33" s="145"/>
      <c r="AB33" s="152"/>
      <c r="AC33" s="153"/>
    </row>
    <row r="34" spans="4:32" ht="24.95" customHeight="1">
      <c r="D34" s="51">
        <v>16</v>
      </c>
      <c r="E34" s="50" t="s">
        <v>156</v>
      </c>
      <c r="F34" s="50" t="s">
        <v>157</v>
      </c>
      <c r="G34" s="51">
        <v>15</v>
      </c>
      <c r="H34" s="143">
        <f t="shared" si="0"/>
        <v>216.26666666666668</v>
      </c>
      <c r="I34" s="144">
        <v>3244</v>
      </c>
      <c r="J34" s="145">
        <v>0</v>
      </c>
      <c r="K34" s="145">
        <f t="shared" si="1"/>
        <v>3244</v>
      </c>
      <c r="L34" s="146"/>
      <c r="M34" s="147">
        <v>0</v>
      </c>
      <c r="N34" s="147">
        <f>K34+M34</f>
        <v>3244</v>
      </c>
      <c r="O34" s="147">
        <f>VLOOKUP(N34,Tarifa1,1)</f>
        <v>2077.5100000000002</v>
      </c>
      <c r="P34" s="147">
        <f>N34-O34</f>
        <v>1166.4899999999998</v>
      </c>
      <c r="Q34" s="148">
        <f>VLOOKUP(N34,Tarifa1,3)</f>
        <v>0.10879999999999999</v>
      </c>
      <c r="R34" s="147">
        <f>P34*Q34</f>
        <v>126.91411199999997</v>
      </c>
      <c r="S34" s="147">
        <f>VLOOKUP(N34,Tarifa1,2)</f>
        <v>121.95</v>
      </c>
      <c r="T34" s="147">
        <f>R34+S34</f>
        <v>248.86411199999998</v>
      </c>
      <c r="U34" s="147">
        <f>VLOOKUP(N34,Credito1,2)</f>
        <v>125.1</v>
      </c>
      <c r="V34" s="147">
        <f>T34-U34</f>
        <v>123.76411199999998</v>
      </c>
      <c r="W34" s="149"/>
      <c r="X34" s="145">
        <f>-IF(V34&gt;0,0,V34)</f>
        <v>0</v>
      </c>
      <c r="Y34" s="150">
        <f>IF(V34&lt;0,0,V34)</f>
        <v>123.76411199999998</v>
      </c>
      <c r="Z34" s="151">
        <v>0</v>
      </c>
      <c r="AA34" s="145">
        <f>SUM(Y34:Z34)</f>
        <v>123.76411199999998</v>
      </c>
      <c r="AB34" s="152">
        <f>K34+X34-AA34</f>
        <v>3120.2358880000002</v>
      </c>
      <c r="AC34" s="153"/>
    </row>
    <row r="35" spans="4:32" ht="24.95" customHeight="1">
      <c r="D35" s="51"/>
      <c r="E35" s="50"/>
      <c r="F35" s="50"/>
      <c r="G35" s="51"/>
      <c r="H35" s="143"/>
      <c r="I35" s="144"/>
      <c r="J35" s="145"/>
      <c r="K35" s="145"/>
      <c r="L35" s="146"/>
      <c r="M35" s="147"/>
      <c r="N35" s="147"/>
      <c r="O35" s="147"/>
      <c r="P35" s="147"/>
      <c r="Q35" s="148"/>
      <c r="R35" s="147"/>
      <c r="S35" s="147"/>
      <c r="T35" s="147"/>
      <c r="U35" s="147"/>
      <c r="V35" s="147"/>
      <c r="W35" s="149"/>
      <c r="X35" s="145"/>
      <c r="Y35" s="150"/>
      <c r="Z35" s="151"/>
      <c r="AA35" s="145"/>
      <c r="AB35" s="152"/>
      <c r="AC35" s="153"/>
    </row>
    <row r="36" spans="4:32">
      <c r="D36" s="155"/>
      <c r="E36" s="156" t="s">
        <v>320</v>
      </c>
      <c r="F36" s="156"/>
      <c r="G36" s="155"/>
      <c r="H36" s="157"/>
      <c r="I36" s="158"/>
      <c r="J36" s="159"/>
      <c r="K36" s="159"/>
      <c r="L36" s="146"/>
      <c r="M36" s="160"/>
      <c r="N36" s="160"/>
      <c r="O36" s="160"/>
      <c r="P36" s="160"/>
      <c r="Q36" s="161"/>
      <c r="R36" s="160"/>
      <c r="S36" s="160"/>
      <c r="T36" s="160"/>
      <c r="U36" s="160"/>
      <c r="V36" s="160"/>
      <c r="W36" s="149"/>
      <c r="X36" s="159"/>
      <c r="Y36" s="162"/>
      <c r="Z36" s="163"/>
      <c r="AA36" s="159"/>
      <c r="AB36" s="164"/>
      <c r="AC36" s="165"/>
    </row>
    <row r="37" spans="4:32">
      <c r="D37" s="155"/>
      <c r="E37" s="156"/>
      <c r="F37" s="156"/>
      <c r="G37" s="155"/>
      <c r="H37" s="157"/>
      <c r="I37" s="158"/>
      <c r="J37" s="159"/>
      <c r="K37" s="159"/>
      <c r="L37" s="146"/>
      <c r="M37" s="160"/>
      <c r="N37" s="160"/>
      <c r="O37" s="160"/>
      <c r="P37" s="160"/>
      <c r="Q37" s="161"/>
      <c r="R37" s="160"/>
      <c r="S37" s="160"/>
      <c r="T37" s="160"/>
      <c r="U37" s="160"/>
      <c r="V37" s="160"/>
      <c r="W37" s="149"/>
      <c r="X37" s="159"/>
      <c r="Y37" s="162"/>
      <c r="Z37" s="163"/>
      <c r="AA37" s="159"/>
      <c r="AB37" s="164"/>
      <c r="AC37" s="165"/>
    </row>
    <row r="38" spans="4:32" ht="17.100000000000001" customHeight="1">
      <c r="D38" s="333" t="s">
        <v>68</v>
      </c>
      <c r="E38" s="334"/>
      <c r="F38" s="334"/>
      <c r="G38" s="334"/>
      <c r="H38" s="334"/>
      <c r="I38" s="334"/>
      <c r="J38" s="334"/>
      <c r="K38" s="334"/>
      <c r="L38" s="334"/>
      <c r="M38" s="334"/>
      <c r="N38" s="334"/>
      <c r="O38" s="334"/>
      <c r="P38" s="334"/>
      <c r="Q38" s="334"/>
      <c r="R38" s="334"/>
      <c r="S38" s="334"/>
      <c r="T38" s="334"/>
      <c r="U38" s="334"/>
      <c r="V38" s="334"/>
      <c r="W38" s="334"/>
      <c r="X38" s="334"/>
      <c r="Y38" s="334"/>
      <c r="Z38" s="334"/>
      <c r="AA38" s="334"/>
      <c r="AB38" s="334"/>
      <c r="AC38" s="334"/>
    </row>
    <row r="39" spans="4:32" ht="17.100000000000001" customHeight="1">
      <c r="D39" s="331" t="str">
        <f>D4</f>
        <v>SUELDOS 16 AL 30 DE NOVIEMBRE DE 2016</v>
      </c>
      <c r="E39" s="332"/>
      <c r="F39" s="332"/>
      <c r="G39" s="332"/>
      <c r="H39" s="332"/>
      <c r="I39" s="332"/>
      <c r="J39" s="332"/>
      <c r="K39" s="332"/>
      <c r="L39" s="332"/>
      <c r="M39" s="332"/>
      <c r="N39" s="332"/>
      <c r="O39" s="332"/>
      <c r="P39" s="332"/>
      <c r="Q39" s="332"/>
      <c r="R39" s="332"/>
      <c r="S39" s="332"/>
      <c r="T39" s="332"/>
      <c r="U39" s="332"/>
      <c r="V39" s="332"/>
      <c r="W39" s="332"/>
      <c r="X39" s="332"/>
      <c r="Y39" s="332"/>
      <c r="Z39" s="332"/>
      <c r="AA39" s="332"/>
      <c r="AB39" s="332"/>
      <c r="AC39" s="332"/>
    </row>
    <row r="40" spans="4:32" ht="17.100000000000001" customHeight="1">
      <c r="D40" s="331" t="s">
        <v>70</v>
      </c>
      <c r="E40" s="332"/>
      <c r="F40" s="332"/>
      <c r="G40" s="332"/>
      <c r="H40" s="332"/>
      <c r="I40" s="332"/>
      <c r="J40" s="332"/>
      <c r="K40" s="332"/>
      <c r="L40" s="332"/>
      <c r="M40" s="332"/>
      <c r="N40" s="332"/>
      <c r="O40" s="332"/>
      <c r="P40" s="332"/>
      <c r="Q40" s="332"/>
      <c r="R40" s="332"/>
      <c r="S40" s="332"/>
      <c r="T40" s="332"/>
      <c r="U40" s="332"/>
      <c r="V40" s="332"/>
      <c r="W40" s="332"/>
      <c r="X40" s="332"/>
      <c r="Y40" s="332"/>
      <c r="Z40" s="332"/>
      <c r="AA40" s="332"/>
      <c r="AB40" s="332"/>
      <c r="AC40" s="332"/>
    </row>
    <row r="41" spans="4:32" ht="18" customHeight="1">
      <c r="D41" s="121"/>
      <c r="E41" s="121"/>
      <c r="F41" s="121"/>
      <c r="G41" s="122" t="s">
        <v>22</v>
      </c>
      <c r="H41" s="122" t="s">
        <v>6</v>
      </c>
      <c r="I41" s="328" t="s">
        <v>1</v>
      </c>
      <c r="J41" s="329"/>
      <c r="K41" s="330"/>
      <c r="L41" s="123"/>
      <c r="M41" s="122" t="s">
        <v>25</v>
      </c>
      <c r="N41" s="124"/>
      <c r="O41" s="328" t="s">
        <v>9</v>
      </c>
      <c r="P41" s="329"/>
      <c r="Q41" s="329"/>
      <c r="R41" s="329"/>
      <c r="S41" s="329"/>
      <c r="T41" s="330"/>
      <c r="U41" s="122" t="s">
        <v>29</v>
      </c>
      <c r="V41" s="122" t="s">
        <v>10</v>
      </c>
      <c r="W41" s="123"/>
      <c r="X41" s="122" t="s">
        <v>53</v>
      </c>
      <c r="Y41" s="328" t="s">
        <v>2</v>
      </c>
      <c r="Z41" s="329"/>
      <c r="AA41" s="330"/>
      <c r="AB41" s="122" t="s">
        <v>0</v>
      </c>
      <c r="AC41" s="125"/>
    </row>
    <row r="42" spans="4:32" ht="18" customHeight="1">
      <c r="D42" s="128" t="s">
        <v>21</v>
      </c>
      <c r="E42" s="128"/>
      <c r="F42" s="131" t="s">
        <v>65</v>
      </c>
      <c r="G42" s="127" t="s">
        <v>23</v>
      </c>
      <c r="H42" s="128" t="s">
        <v>24</v>
      </c>
      <c r="I42" s="122" t="s">
        <v>6</v>
      </c>
      <c r="J42" s="122" t="s">
        <v>61</v>
      </c>
      <c r="K42" s="122" t="s">
        <v>27</v>
      </c>
      <c r="L42" s="123"/>
      <c r="M42" s="128" t="s">
        <v>26</v>
      </c>
      <c r="N42" s="124" t="s">
        <v>31</v>
      </c>
      <c r="O42" s="124" t="s">
        <v>12</v>
      </c>
      <c r="P42" s="124" t="s">
        <v>33</v>
      </c>
      <c r="Q42" s="124" t="s">
        <v>35</v>
      </c>
      <c r="R42" s="124" t="s">
        <v>36</v>
      </c>
      <c r="S42" s="124" t="s">
        <v>14</v>
      </c>
      <c r="T42" s="124" t="s">
        <v>10</v>
      </c>
      <c r="U42" s="128" t="s">
        <v>39</v>
      </c>
      <c r="V42" s="128" t="s">
        <v>40</v>
      </c>
      <c r="W42" s="123"/>
      <c r="X42" s="128" t="s">
        <v>30</v>
      </c>
      <c r="Y42" s="122" t="s">
        <v>3</v>
      </c>
      <c r="Z42" s="122" t="s">
        <v>57</v>
      </c>
      <c r="AA42" s="122" t="s">
        <v>7</v>
      </c>
      <c r="AB42" s="128" t="s">
        <v>4</v>
      </c>
      <c r="AC42" s="166" t="s">
        <v>60</v>
      </c>
    </row>
    <row r="43" spans="4:32" ht="18" customHeight="1">
      <c r="D43" s="167"/>
      <c r="E43" s="131" t="s">
        <v>73</v>
      </c>
      <c r="F43" s="131" t="s">
        <v>64</v>
      </c>
      <c r="G43" s="128"/>
      <c r="H43" s="128"/>
      <c r="I43" s="128" t="s">
        <v>46</v>
      </c>
      <c r="J43" s="128" t="s">
        <v>62</v>
      </c>
      <c r="K43" s="128" t="s">
        <v>28</v>
      </c>
      <c r="L43" s="123"/>
      <c r="M43" s="128" t="s">
        <v>42</v>
      </c>
      <c r="N43" s="122" t="s">
        <v>32</v>
      </c>
      <c r="O43" s="122" t="s">
        <v>13</v>
      </c>
      <c r="P43" s="122" t="s">
        <v>34</v>
      </c>
      <c r="Q43" s="122" t="s">
        <v>34</v>
      </c>
      <c r="R43" s="122" t="s">
        <v>37</v>
      </c>
      <c r="S43" s="122" t="s">
        <v>15</v>
      </c>
      <c r="T43" s="122" t="s">
        <v>38</v>
      </c>
      <c r="U43" s="128" t="s">
        <v>19</v>
      </c>
      <c r="V43" s="132" t="s">
        <v>235</v>
      </c>
      <c r="W43" s="133"/>
      <c r="X43" s="128" t="s">
        <v>52</v>
      </c>
      <c r="Y43" s="128"/>
      <c r="Z43" s="128"/>
      <c r="AA43" s="128" t="s">
        <v>43</v>
      </c>
      <c r="AB43" s="128" t="s">
        <v>5</v>
      </c>
      <c r="AC43" s="134"/>
    </row>
    <row r="44" spans="4:32" ht="24.95" customHeight="1">
      <c r="D44" s="51">
        <v>17</v>
      </c>
      <c r="E44" s="50" t="s">
        <v>160</v>
      </c>
      <c r="F44" s="50" t="s">
        <v>86</v>
      </c>
      <c r="G44" s="51">
        <v>15</v>
      </c>
      <c r="H44" s="143">
        <f>I44/15</f>
        <v>300</v>
      </c>
      <c r="I44" s="144">
        <v>4500</v>
      </c>
      <c r="J44" s="145">
        <v>0</v>
      </c>
      <c r="K44" s="145">
        <f>TRUNC(SUM(G44*H44)+J44,2)</f>
        <v>4500</v>
      </c>
      <c r="L44" s="146"/>
      <c r="M44" s="147">
        <v>0</v>
      </c>
      <c r="N44" s="147">
        <f>K44+M44</f>
        <v>4500</v>
      </c>
      <c r="O44" s="147">
        <f>VLOOKUP(N44,Tarifa1,1)</f>
        <v>4244.1099999999997</v>
      </c>
      <c r="P44" s="147">
        <f>N44-O44</f>
        <v>255.89000000000033</v>
      </c>
      <c r="Q44" s="148">
        <f>VLOOKUP(N44,Tarifa1,3)</f>
        <v>0.1792</v>
      </c>
      <c r="R44" s="147">
        <f>P44*Q44</f>
        <v>45.855488000000058</v>
      </c>
      <c r="S44" s="147">
        <f>VLOOKUP(N44,Tarifa1,2)</f>
        <v>388.05</v>
      </c>
      <c r="T44" s="147">
        <f>R44+S44</f>
        <v>433.90548800000005</v>
      </c>
      <c r="U44" s="147">
        <f>VLOOKUP(N44,Credito1,2)</f>
        <v>0</v>
      </c>
      <c r="V44" s="147">
        <f>T44-U44</f>
        <v>433.90548800000005</v>
      </c>
      <c r="W44" s="149"/>
      <c r="X44" s="145">
        <f>-IF(V44&gt;0,0,V44)</f>
        <v>0</v>
      </c>
      <c r="Y44" s="150">
        <f>IF(V44&lt;0,0,V44)</f>
        <v>433.90548800000005</v>
      </c>
      <c r="Z44" s="151">
        <v>0</v>
      </c>
      <c r="AA44" s="145">
        <f>SUM(Y44:Z44)</f>
        <v>433.90548800000005</v>
      </c>
      <c r="AB44" s="152">
        <f>K44+X44-AA44</f>
        <v>4066.0945120000001</v>
      </c>
      <c r="AC44" s="153"/>
    </row>
    <row r="45" spans="4:32" ht="24.95" customHeight="1">
      <c r="D45" s="51">
        <v>18</v>
      </c>
      <c r="E45" s="104" t="s">
        <v>274</v>
      </c>
      <c r="F45" s="104" t="s">
        <v>275</v>
      </c>
      <c r="G45" s="51">
        <v>15</v>
      </c>
      <c r="H45" s="143">
        <f>I45/15</f>
        <v>167.26666666666668</v>
      </c>
      <c r="I45" s="206">
        <v>2509</v>
      </c>
      <c r="J45" s="145">
        <v>0</v>
      </c>
      <c r="K45" s="145">
        <f>TRUNC(SUM(G45*H45)+J45,2)</f>
        <v>2509</v>
      </c>
      <c r="L45" s="146"/>
      <c r="M45" s="147">
        <v>0</v>
      </c>
      <c r="N45" s="147">
        <f>K45+M45</f>
        <v>2509</v>
      </c>
      <c r="O45" s="147">
        <f>VLOOKUP(N45,Tarifa1,1)</f>
        <v>2077.5100000000002</v>
      </c>
      <c r="P45" s="147">
        <f>N45-O45</f>
        <v>431.48999999999978</v>
      </c>
      <c r="Q45" s="148">
        <f>VLOOKUP(N45,Tarifa1,3)</f>
        <v>0.10879999999999999</v>
      </c>
      <c r="R45" s="147">
        <f>P45*Q45</f>
        <v>46.946111999999971</v>
      </c>
      <c r="S45" s="147">
        <f>VLOOKUP(N45,Tarifa1,2)</f>
        <v>121.95</v>
      </c>
      <c r="T45" s="147">
        <f>R45+S45</f>
        <v>168.89611199999996</v>
      </c>
      <c r="U45" s="147">
        <f>VLOOKUP(N45,Credito1,2)</f>
        <v>160.35</v>
      </c>
      <c r="V45" s="147">
        <f>T45-U45</f>
        <v>8.5461119999999653</v>
      </c>
      <c r="W45" s="149"/>
      <c r="X45" s="145">
        <f>-IF(V45&gt;0,0,V45)</f>
        <v>0</v>
      </c>
      <c r="Y45" s="150">
        <f>IF(V45&lt;0,0,V45)</f>
        <v>8.5461119999999653</v>
      </c>
      <c r="Z45" s="151">
        <v>0</v>
      </c>
      <c r="AA45" s="145">
        <f>SUM(Y45:Z45)</f>
        <v>8.5461119999999653</v>
      </c>
      <c r="AB45" s="152">
        <f>K45+X45-AA45</f>
        <v>2500.453888</v>
      </c>
      <c r="AC45" s="153"/>
      <c r="AF45" s="181"/>
    </row>
    <row r="46" spans="4:32" ht="24.95" customHeight="1">
      <c r="D46" s="51"/>
      <c r="E46" s="67" t="s">
        <v>87</v>
      </c>
      <c r="F46" s="50"/>
      <c r="G46" s="51"/>
      <c r="H46" s="143"/>
      <c r="I46" s="144"/>
      <c r="J46" s="145"/>
      <c r="K46" s="145"/>
      <c r="L46" s="146"/>
      <c r="M46" s="147"/>
      <c r="N46" s="147"/>
      <c r="O46" s="147"/>
      <c r="P46" s="147"/>
      <c r="Q46" s="148"/>
      <c r="R46" s="147"/>
      <c r="S46" s="147"/>
      <c r="T46" s="147"/>
      <c r="U46" s="147"/>
      <c r="V46" s="147"/>
      <c r="W46" s="149"/>
      <c r="X46" s="145"/>
      <c r="Y46" s="150"/>
      <c r="Z46" s="151"/>
      <c r="AA46" s="145"/>
      <c r="AB46" s="152"/>
      <c r="AC46" s="153"/>
    </row>
    <row r="47" spans="4:32" ht="24.95" customHeight="1">
      <c r="D47" s="51">
        <v>19</v>
      </c>
      <c r="E47" s="50" t="s">
        <v>204</v>
      </c>
      <c r="F47" s="50" t="s">
        <v>88</v>
      </c>
      <c r="G47" s="51">
        <v>15</v>
      </c>
      <c r="H47" s="143">
        <f>I47/15</f>
        <v>823.93333333333328</v>
      </c>
      <c r="I47" s="144">
        <v>12359</v>
      </c>
      <c r="J47" s="145">
        <v>0</v>
      </c>
      <c r="K47" s="145">
        <f>TRUNC(SUM(G47*H47)+J47,2)</f>
        <v>12359</v>
      </c>
      <c r="L47" s="146"/>
      <c r="M47" s="147">
        <v>0</v>
      </c>
      <c r="N47" s="147">
        <f>K47+M47</f>
        <v>12359</v>
      </c>
      <c r="O47" s="147">
        <f>VLOOKUP(N47,Tarifa1,1)</f>
        <v>10248.459999999999</v>
      </c>
      <c r="P47" s="147">
        <f>N47-O47</f>
        <v>2110.5400000000009</v>
      </c>
      <c r="Q47" s="148">
        <f>VLOOKUP(N47,Tarifa1,3)</f>
        <v>0.23519999999999999</v>
      </c>
      <c r="R47" s="147">
        <f>P47*Q47</f>
        <v>496.39900800000021</v>
      </c>
      <c r="S47" s="147">
        <f>VLOOKUP(N47,Tarifa1,2)</f>
        <v>1641.75</v>
      </c>
      <c r="T47" s="147">
        <f>R47+S47</f>
        <v>2138.1490080000003</v>
      </c>
      <c r="U47" s="147">
        <f>VLOOKUP(N47,Credito1,2)</f>
        <v>0</v>
      </c>
      <c r="V47" s="147">
        <f>T47-U47</f>
        <v>2138.1490080000003</v>
      </c>
      <c r="W47" s="149"/>
      <c r="X47" s="145">
        <f>-IF(V47&gt;0,0,V47)</f>
        <v>0</v>
      </c>
      <c r="Y47" s="150">
        <f>IF(V47&lt;0,0,V47)</f>
        <v>2138.1490080000003</v>
      </c>
      <c r="Z47" s="151">
        <v>0</v>
      </c>
      <c r="AA47" s="145">
        <f>SUM(Y47:Z47)</f>
        <v>2138.1490080000003</v>
      </c>
      <c r="AB47" s="152">
        <f>K47+X47-AA47</f>
        <v>10220.850992</v>
      </c>
      <c r="AC47" s="153"/>
      <c r="AF47" s="181"/>
    </row>
    <row r="48" spans="4:32" ht="24.95" customHeight="1">
      <c r="D48" s="51">
        <v>20</v>
      </c>
      <c r="E48" s="50" t="s">
        <v>89</v>
      </c>
      <c r="F48" s="50" t="s">
        <v>75</v>
      </c>
      <c r="G48" s="51">
        <v>15</v>
      </c>
      <c r="H48" s="143">
        <f>I48/15</f>
        <v>221.86666666666667</v>
      </c>
      <c r="I48" s="144">
        <v>3328</v>
      </c>
      <c r="J48" s="145">
        <v>0</v>
      </c>
      <c r="K48" s="145">
        <f>TRUNC(SUM(G48*H48)+J48,2)</f>
        <v>3328</v>
      </c>
      <c r="L48" s="146"/>
      <c r="M48" s="147">
        <v>0</v>
      </c>
      <c r="N48" s="147">
        <f>K48+M48</f>
        <v>3328</v>
      </c>
      <c r="O48" s="147">
        <f>VLOOKUP(N48,Tarifa1,1)</f>
        <v>2077.5100000000002</v>
      </c>
      <c r="P48" s="147">
        <f>N48-O48</f>
        <v>1250.4899999999998</v>
      </c>
      <c r="Q48" s="148">
        <f>VLOOKUP(N48,Tarifa1,3)</f>
        <v>0.10879999999999999</v>
      </c>
      <c r="R48" s="147">
        <f>P48*Q48</f>
        <v>136.05331199999998</v>
      </c>
      <c r="S48" s="147">
        <f>VLOOKUP(N48,Tarifa1,2)</f>
        <v>121.95</v>
      </c>
      <c r="T48" s="147">
        <f>R48+S48</f>
        <v>258.00331199999999</v>
      </c>
      <c r="U48" s="147">
        <f>VLOOKUP(N48,Credito1,2)</f>
        <v>125.1</v>
      </c>
      <c r="V48" s="147">
        <f>T48-U48</f>
        <v>132.903312</v>
      </c>
      <c r="W48" s="149"/>
      <c r="X48" s="145">
        <f>-IF(V48&gt;0,0,V48)</f>
        <v>0</v>
      </c>
      <c r="Y48" s="150">
        <f>IF(V48&lt;0,0,V48)</f>
        <v>132.903312</v>
      </c>
      <c r="Z48" s="151">
        <v>0</v>
      </c>
      <c r="AA48" s="145">
        <f>SUM(Y48:Z48)</f>
        <v>132.903312</v>
      </c>
      <c r="AB48" s="152">
        <f>K48+X48-AA48</f>
        <v>3195.0966880000001</v>
      </c>
      <c r="AC48" s="153"/>
      <c r="AF48" s="181"/>
    </row>
    <row r="49" spans="4:32" ht="24.95" customHeight="1">
      <c r="D49" s="51">
        <v>21</v>
      </c>
      <c r="E49" s="251" t="s">
        <v>211</v>
      </c>
      <c r="F49" s="50" t="s">
        <v>75</v>
      </c>
      <c r="G49" s="51">
        <v>15</v>
      </c>
      <c r="H49" s="143">
        <f>I49/15</f>
        <v>171.66666666666666</v>
      </c>
      <c r="I49" s="53">
        <v>2575</v>
      </c>
      <c r="J49" s="54">
        <v>0</v>
      </c>
      <c r="K49" s="55">
        <f>TRUNC(SUM(G49*H49)+J49,2)</f>
        <v>2575</v>
      </c>
      <c r="L49" s="56"/>
      <c r="M49" s="57">
        <v>0</v>
      </c>
      <c r="N49" s="57">
        <f>K49+M49</f>
        <v>2575</v>
      </c>
      <c r="O49" s="57">
        <f>VLOOKUP(N49,Tarifa1,1)</f>
        <v>2077.5100000000002</v>
      </c>
      <c r="P49" s="57">
        <f>N49-O49</f>
        <v>497.48999999999978</v>
      </c>
      <c r="Q49" s="58">
        <f>VLOOKUP(N49,Tarifa1,3)</f>
        <v>0.10879999999999999</v>
      </c>
      <c r="R49" s="57">
        <f>P49*Q49</f>
        <v>54.126911999999976</v>
      </c>
      <c r="S49" s="57">
        <f>VLOOKUP(N49,Tarifa1,2)</f>
        <v>121.95</v>
      </c>
      <c r="T49" s="57">
        <f>R49+S49</f>
        <v>176.07691199999999</v>
      </c>
      <c r="U49" s="57">
        <f>VLOOKUP(N49,Credito1,2)</f>
        <v>160.35</v>
      </c>
      <c r="V49" s="57">
        <f>T49-U49</f>
        <v>15.726911999999999</v>
      </c>
      <c r="W49" s="59"/>
      <c r="X49" s="55">
        <f>-IF(V49&gt;0,0,V49)</f>
        <v>0</v>
      </c>
      <c r="Y49" s="60">
        <f>IF(V49&lt;0,0,V49)</f>
        <v>15.726911999999999</v>
      </c>
      <c r="Z49" s="61">
        <v>0</v>
      </c>
      <c r="AA49" s="55">
        <f>SUM(Y49:Z49)</f>
        <v>15.726911999999999</v>
      </c>
      <c r="AB49" s="62">
        <f>K49+X49-AA49</f>
        <v>2559.2730879999999</v>
      </c>
      <c r="AC49" s="153"/>
      <c r="AF49" s="181"/>
    </row>
    <row r="50" spans="4:32" ht="25.5" customHeight="1">
      <c r="D50" s="51"/>
      <c r="E50" s="67" t="s">
        <v>178</v>
      </c>
      <c r="F50" s="50"/>
      <c r="G50" s="51"/>
      <c r="H50" s="143"/>
      <c r="I50" s="144"/>
      <c r="J50" s="145"/>
      <c r="K50" s="145"/>
      <c r="L50" s="146"/>
      <c r="M50" s="147"/>
      <c r="N50" s="147"/>
      <c r="O50" s="147"/>
      <c r="P50" s="147"/>
      <c r="Q50" s="148"/>
      <c r="R50" s="147"/>
      <c r="S50" s="147"/>
      <c r="T50" s="147"/>
      <c r="U50" s="147"/>
      <c r="V50" s="147"/>
      <c r="W50" s="149"/>
      <c r="X50" s="145"/>
      <c r="Y50" s="150"/>
      <c r="Z50" s="151"/>
      <c r="AA50" s="145"/>
      <c r="AB50" s="152"/>
      <c r="AC50" s="153"/>
    </row>
    <row r="51" spans="4:32" ht="1.5" hidden="1" customHeight="1">
      <c r="D51" s="51"/>
      <c r="E51" s="50"/>
      <c r="F51" s="50"/>
      <c r="G51" s="51"/>
      <c r="H51" s="143"/>
      <c r="I51" s="144"/>
      <c r="J51" s="145"/>
      <c r="K51" s="145"/>
      <c r="L51" s="146"/>
      <c r="M51" s="147"/>
      <c r="N51" s="147"/>
      <c r="O51" s="147"/>
      <c r="P51" s="147"/>
      <c r="Q51" s="148"/>
      <c r="R51" s="147"/>
      <c r="S51" s="147"/>
      <c r="T51" s="147"/>
      <c r="U51" s="147"/>
      <c r="V51" s="147"/>
      <c r="W51" s="149"/>
      <c r="X51" s="145"/>
      <c r="Y51" s="150"/>
      <c r="Z51" s="151"/>
      <c r="AA51" s="145"/>
      <c r="AB51" s="152"/>
      <c r="AC51" s="153"/>
    </row>
    <row r="52" spans="4:32" ht="24.95" customHeight="1">
      <c r="D52" s="51">
        <v>22</v>
      </c>
      <c r="E52" s="50" t="s">
        <v>124</v>
      </c>
      <c r="F52" s="50" t="s">
        <v>312</v>
      </c>
      <c r="G52" s="51">
        <v>15</v>
      </c>
      <c r="H52" s="143">
        <f>I52/15</f>
        <v>216.32000000000002</v>
      </c>
      <c r="I52" s="144">
        <v>3244.8</v>
      </c>
      <c r="J52" s="145">
        <v>0</v>
      </c>
      <c r="K52" s="145">
        <f>TRUNC(SUM(G52*H52)+J52,2)</f>
        <v>3244.8</v>
      </c>
      <c r="L52" s="146"/>
      <c r="M52" s="147">
        <v>0</v>
      </c>
      <c r="N52" s="147">
        <f>K52+M52</f>
        <v>3244.8</v>
      </c>
      <c r="O52" s="147">
        <f>VLOOKUP(N52,Tarifa1,1)</f>
        <v>2077.5100000000002</v>
      </c>
      <c r="P52" s="147">
        <f>N52-O52</f>
        <v>1167.29</v>
      </c>
      <c r="Q52" s="148">
        <f>VLOOKUP(N52,Tarifa1,3)</f>
        <v>0.10879999999999999</v>
      </c>
      <c r="R52" s="147">
        <f>P52*Q52</f>
        <v>127.00115199999999</v>
      </c>
      <c r="S52" s="147">
        <f>VLOOKUP(N52,Tarifa1,2)</f>
        <v>121.95</v>
      </c>
      <c r="T52" s="147">
        <f>R52+S52</f>
        <v>248.95115199999998</v>
      </c>
      <c r="U52" s="147">
        <f>VLOOKUP(N52,Credito1,2)</f>
        <v>125.1</v>
      </c>
      <c r="V52" s="147">
        <f>T52-U52</f>
        <v>123.85115199999998</v>
      </c>
      <c r="W52" s="149"/>
      <c r="X52" s="145">
        <f>-IF(V52&gt;0,0,V52)</f>
        <v>0</v>
      </c>
      <c r="Y52" s="150">
        <f>IF(V52&lt;0,0,V52)</f>
        <v>123.85115199999998</v>
      </c>
      <c r="Z52" s="151">
        <v>0</v>
      </c>
      <c r="AA52" s="145">
        <f>SUM(Y52:Z52)</f>
        <v>123.85115199999998</v>
      </c>
      <c r="AB52" s="152">
        <f>K52+X52-AA52</f>
        <v>3120.948848</v>
      </c>
      <c r="AC52" s="153"/>
      <c r="AF52" s="181"/>
    </row>
    <row r="53" spans="4:32" ht="24.95" customHeight="1">
      <c r="D53" s="51"/>
      <c r="E53" s="67" t="s">
        <v>179</v>
      </c>
      <c r="F53" s="50"/>
      <c r="G53" s="51"/>
      <c r="H53" s="143"/>
      <c r="I53" s="144"/>
      <c r="J53" s="145"/>
      <c r="K53" s="145"/>
      <c r="L53" s="146"/>
      <c r="M53" s="147"/>
      <c r="N53" s="147"/>
      <c r="O53" s="147"/>
      <c r="P53" s="147"/>
      <c r="Q53" s="148"/>
      <c r="R53" s="147"/>
      <c r="S53" s="147"/>
      <c r="T53" s="147"/>
      <c r="U53" s="147"/>
      <c r="V53" s="147"/>
      <c r="W53" s="149"/>
      <c r="X53" s="145"/>
      <c r="Y53" s="150"/>
      <c r="Z53" s="151"/>
      <c r="AA53" s="145"/>
      <c r="AB53" s="152"/>
      <c r="AC53" s="153"/>
    </row>
    <row r="54" spans="4:32" ht="24.95" customHeight="1">
      <c r="D54" s="51">
        <v>23</v>
      </c>
      <c r="E54" s="50" t="s">
        <v>90</v>
      </c>
      <c r="F54" s="50" t="s">
        <v>75</v>
      </c>
      <c r="G54" s="51">
        <v>15</v>
      </c>
      <c r="H54" s="143">
        <f>I54/15</f>
        <v>221.86666666666667</v>
      </c>
      <c r="I54" s="144">
        <v>3328</v>
      </c>
      <c r="J54" s="145">
        <v>0</v>
      </c>
      <c r="K54" s="145">
        <f>TRUNC(SUM(G54*H54)+J54,2)</f>
        <v>3328</v>
      </c>
      <c r="L54" s="146"/>
      <c r="M54" s="147">
        <v>0</v>
      </c>
      <c r="N54" s="147">
        <f>K54+M54</f>
        <v>3328</v>
      </c>
      <c r="O54" s="147">
        <f>VLOOKUP(N54,Tarifa1,1)</f>
        <v>2077.5100000000002</v>
      </c>
      <c r="P54" s="147">
        <f>N54-O54</f>
        <v>1250.4899999999998</v>
      </c>
      <c r="Q54" s="148">
        <f>VLOOKUP(N54,Tarifa1,3)</f>
        <v>0.10879999999999999</v>
      </c>
      <c r="R54" s="147">
        <f>P54*Q54</f>
        <v>136.05331199999998</v>
      </c>
      <c r="S54" s="147">
        <f>VLOOKUP(N54,Tarifa1,2)</f>
        <v>121.95</v>
      </c>
      <c r="T54" s="147">
        <f>R54+S54</f>
        <v>258.00331199999999</v>
      </c>
      <c r="U54" s="147">
        <f>VLOOKUP(N54,Credito1,2)</f>
        <v>125.1</v>
      </c>
      <c r="V54" s="147">
        <f>T54-U54</f>
        <v>132.903312</v>
      </c>
      <c r="W54" s="149"/>
      <c r="X54" s="145">
        <f>-IF(V54&gt;0,0,V54)</f>
        <v>0</v>
      </c>
      <c r="Y54" s="150">
        <f>IF(V54&lt;0,0,V54)</f>
        <v>132.903312</v>
      </c>
      <c r="Z54" s="151">
        <v>0</v>
      </c>
      <c r="AA54" s="145">
        <f>SUM(Y54:Z54)</f>
        <v>132.903312</v>
      </c>
      <c r="AB54" s="152">
        <f>K54+X54-AA54</f>
        <v>3195.0966880000001</v>
      </c>
      <c r="AC54" s="153"/>
    </row>
    <row r="55" spans="4:32" ht="24.95" customHeight="1">
      <c r="D55" s="51"/>
      <c r="E55" s="67" t="s">
        <v>91</v>
      </c>
      <c r="F55" s="50"/>
      <c r="G55" s="51"/>
      <c r="H55" s="143"/>
      <c r="I55" s="144"/>
      <c r="J55" s="145"/>
      <c r="K55" s="145"/>
      <c r="L55" s="146"/>
      <c r="M55" s="147"/>
      <c r="N55" s="147"/>
      <c r="O55" s="147"/>
      <c r="P55" s="147"/>
      <c r="Q55" s="148"/>
      <c r="R55" s="147"/>
      <c r="S55" s="147"/>
      <c r="T55" s="147"/>
      <c r="U55" s="147"/>
      <c r="V55" s="147"/>
      <c r="W55" s="149"/>
      <c r="X55" s="145"/>
      <c r="Y55" s="150"/>
      <c r="Z55" s="151"/>
      <c r="AA55" s="145"/>
      <c r="AB55" s="152"/>
      <c r="AC55" s="153"/>
    </row>
    <row r="56" spans="4:32" ht="24.95" customHeight="1">
      <c r="D56" s="51">
        <v>24</v>
      </c>
      <c r="E56" s="50" t="s">
        <v>205</v>
      </c>
      <c r="F56" s="50" t="s">
        <v>92</v>
      </c>
      <c r="G56" s="51">
        <v>15</v>
      </c>
      <c r="H56" s="143">
        <f>I56/15</f>
        <v>440</v>
      </c>
      <c r="I56" s="144">
        <v>6600</v>
      </c>
      <c r="J56" s="145">
        <v>0</v>
      </c>
      <c r="K56" s="145">
        <f>TRUNC(SUM(G56*H56)+J56,2)</f>
        <v>6600</v>
      </c>
      <c r="L56" s="146"/>
      <c r="M56" s="147">
        <v>0</v>
      </c>
      <c r="N56" s="147">
        <f>K56+M56</f>
        <v>6600</v>
      </c>
      <c r="O56" s="147">
        <f>VLOOKUP(N56,Tarifa1,1)</f>
        <v>5081.41</v>
      </c>
      <c r="P56" s="147">
        <f>N56-O56</f>
        <v>1518.5900000000001</v>
      </c>
      <c r="Q56" s="148">
        <f>VLOOKUP(N56,Tarifa1,3)</f>
        <v>0.21360000000000001</v>
      </c>
      <c r="R56" s="147">
        <f>P56*Q56</f>
        <v>324.37082400000003</v>
      </c>
      <c r="S56" s="147">
        <f>VLOOKUP(N56,Tarifa1,2)</f>
        <v>538.20000000000005</v>
      </c>
      <c r="T56" s="147">
        <f>R56+S56</f>
        <v>862.57082400000013</v>
      </c>
      <c r="U56" s="147">
        <f>VLOOKUP(N56,Credito1,2)</f>
        <v>0</v>
      </c>
      <c r="V56" s="147">
        <f>T56-U56</f>
        <v>862.57082400000013</v>
      </c>
      <c r="W56" s="149"/>
      <c r="X56" s="145">
        <f>-IF(V56&gt;0,0,V56)</f>
        <v>0</v>
      </c>
      <c r="Y56" s="150">
        <f>IF(V56&lt;0,0,V56)</f>
        <v>862.57082400000013</v>
      </c>
      <c r="Z56" s="151">
        <v>0</v>
      </c>
      <c r="AA56" s="145">
        <f>SUM(Y56:Z56)</f>
        <v>862.57082400000013</v>
      </c>
      <c r="AB56" s="152">
        <f>K56+X56-AA56</f>
        <v>5737.4291759999996</v>
      </c>
      <c r="AC56" s="153"/>
    </row>
    <row r="57" spans="4:32" ht="24.95" customHeight="1">
      <c r="D57" s="51">
        <v>25</v>
      </c>
      <c r="E57" s="50" t="s">
        <v>158</v>
      </c>
      <c r="F57" s="50" t="s">
        <v>146</v>
      </c>
      <c r="G57" s="51">
        <v>15</v>
      </c>
      <c r="H57" s="143">
        <f>I57/15</f>
        <v>259.93333333333334</v>
      </c>
      <c r="I57" s="144">
        <v>3899</v>
      </c>
      <c r="J57" s="145">
        <v>0</v>
      </c>
      <c r="K57" s="145">
        <f>TRUNC(SUM(G57*H57)+J57,2)</f>
        <v>3899</v>
      </c>
      <c r="L57" s="146"/>
      <c r="M57" s="147">
        <v>0</v>
      </c>
      <c r="N57" s="147">
        <f>K57+M57</f>
        <v>3899</v>
      </c>
      <c r="O57" s="147">
        <f>VLOOKUP(N57,Tarifa1,1)</f>
        <v>3651.01</v>
      </c>
      <c r="P57" s="147">
        <f>N57-O57</f>
        <v>247.98999999999978</v>
      </c>
      <c r="Q57" s="148">
        <f>VLOOKUP(N57,Tarifa1,3)</f>
        <v>0.16</v>
      </c>
      <c r="R57" s="147">
        <f>P57*Q57</f>
        <v>39.678399999999968</v>
      </c>
      <c r="S57" s="147">
        <f>VLOOKUP(N57,Tarifa1,2)</f>
        <v>293.25</v>
      </c>
      <c r="T57" s="147">
        <f>R57+S57</f>
        <v>332.92839999999995</v>
      </c>
      <c r="U57" s="147">
        <f>VLOOKUP(N57,Credito1,2)</f>
        <v>0</v>
      </c>
      <c r="V57" s="147">
        <f>T57-U57</f>
        <v>332.92839999999995</v>
      </c>
      <c r="W57" s="149"/>
      <c r="X57" s="145">
        <f>-IF(V57&gt;0,0,V57)</f>
        <v>0</v>
      </c>
      <c r="Y57" s="150">
        <f>IF(V57&lt;0,0,V57)</f>
        <v>332.92839999999995</v>
      </c>
      <c r="Z57" s="151">
        <v>0</v>
      </c>
      <c r="AA57" s="145">
        <f>SUM(Y57:Z57)</f>
        <v>332.92839999999995</v>
      </c>
      <c r="AB57" s="152">
        <f>K57+X57-AA57</f>
        <v>3566.0716000000002</v>
      </c>
      <c r="AC57" s="153"/>
      <c r="AF57" s="181"/>
    </row>
    <row r="58" spans="4:32" ht="24.95" customHeight="1">
      <c r="D58" s="51">
        <v>26</v>
      </c>
      <c r="E58" s="50" t="s">
        <v>258</v>
      </c>
      <c r="F58" s="50" t="s">
        <v>146</v>
      </c>
      <c r="G58" s="51">
        <v>15</v>
      </c>
      <c r="H58" s="143">
        <f>I58/15</f>
        <v>214.53333333333333</v>
      </c>
      <c r="I58" s="144">
        <v>3218</v>
      </c>
      <c r="J58" s="145">
        <v>0</v>
      </c>
      <c r="K58" s="145">
        <f>TRUNC(SUM(G58*H58)+J58,2)</f>
        <v>3218</v>
      </c>
      <c r="L58" s="146"/>
      <c r="M58" s="147">
        <v>0</v>
      </c>
      <c r="N58" s="147">
        <f>K58+M58</f>
        <v>3218</v>
      </c>
      <c r="O58" s="147">
        <f>VLOOKUP(N58,Tarifa1,1)</f>
        <v>2077.5100000000002</v>
      </c>
      <c r="P58" s="147">
        <f>N58-O58</f>
        <v>1140.4899999999998</v>
      </c>
      <c r="Q58" s="148">
        <f>VLOOKUP(N58,Tarifa1,3)</f>
        <v>0.10879999999999999</v>
      </c>
      <c r="R58" s="147">
        <f>P58*Q58</f>
        <v>124.08531199999997</v>
      </c>
      <c r="S58" s="147">
        <f>VLOOKUP(N58,Tarifa1,2)</f>
        <v>121.95</v>
      </c>
      <c r="T58" s="147">
        <f>R58+S58</f>
        <v>246.03531199999998</v>
      </c>
      <c r="U58" s="147">
        <f>VLOOKUP(N58,Credito1,2)</f>
        <v>125.1</v>
      </c>
      <c r="V58" s="147">
        <f>T58-U58</f>
        <v>120.93531199999998</v>
      </c>
      <c r="W58" s="149"/>
      <c r="X58" s="145">
        <f>-IF(V58&gt;0,0,V58)</f>
        <v>0</v>
      </c>
      <c r="Y58" s="150">
        <f>IF(V58&lt;0,0,V58)</f>
        <v>120.93531199999998</v>
      </c>
      <c r="Z58" s="151">
        <v>0</v>
      </c>
      <c r="AA58" s="145">
        <f>SUM(Y58:Z58)</f>
        <v>120.93531199999998</v>
      </c>
      <c r="AB58" s="152">
        <f>K58+X58-AA58</f>
        <v>3097.0646879999999</v>
      </c>
      <c r="AC58" s="153"/>
      <c r="AF58" s="181"/>
    </row>
    <row r="59" spans="4:32" ht="24.95" customHeight="1">
      <c r="D59" s="51"/>
      <c r="E59" s="67" t="s">
        <v>93</v>
      </c>
      <c r="F59" s="50"/>
      <c r="G59" s="51"/>
      <c r="H59" s="143"/>
      <c r="I59" s="144"/>
      <c r="J59" s="145"/>
      <c r="K59" s="145"/>
      <c r="L59" s="146"/>
      <c r="M59" s="147"/>
      <c r="N59" s="147"/>
      <c r="O59" s="147"/>
      <c r="P59" s="147"/>
      <c r="Q59" s="148"/>
      <c r="R59" s="147"/>
      <c r="S59" s="147"/>
      <c r="T59" s="147"/>
      <c r="U59" s="147"/>
      <c r="V59" s="147"/>
      <c r="W59" s="149"/>
      <c r="X59" s="145"/>
      <c r="Y59" s="150"/>
      <c r="Z59" s="151"/>
      <c r="AA59" s="145"/>
      <c r="AB59" s="152"/>
      <c r="AC59" s="153"/>
    </row>
    <row r="60" spans="4:32" ht="24.95" customHeight="1">
      <c r="D60" s="51">
        <v>27</v>
      </c>
      <c r="E60" s="50" t="s">
        <v>97</v>
      </c>
      <c r="F60" s="50" t="s">
        <v>94</v>
      </c>
      <c r="G60" s="51">
        <v>15</v>
      </c>
      <c r="H60" s="143">
        <f t="shared" ref="H60:H68" si="2">I60/15</f>
        <v>216.32000000000002</v>
      </c>
      <c r="I60" s="144">
        <v>3244.8</v>
      </c>
      <c r="J60" s="145">
        <v>0</v>
      </c>
      <c r="K60" s="145">
        <f t="shared" ref="K60:K65" si="3">TRUNC(SUM(G60*H60)+J60,2)</f>
        <v>3244.8</v>
      </c>
      <c r="L60" s="146"/>
      <c r="M60" s="147">
        <v>0</v>
      </c>
      <c r="N60" s="147">
        <f t="shared" ref="N60:N66" si="4">K60+M60</f>
        <v>3244.8</v>
      </c>
      <c r="O60" s="147">
        <f>VLOOKUP(N60,Tarifa1,1)</f>
        <v>2077.5100000000002</v>
      </c>
      <c r="P60" s="147">
        <f t="shared" ref="P60:P66" si="5">N60-O60</f>
        <v>1167.29</v>
      </c>
      <c r="Q60" s="148">
        <f>VLOOKUP(N60,Tarifa1,3)</f>
        <v>0.10879999999999999</v>
      </c>
      <c r="R60" s="147">
        <f t="shared" ref="R60:R66" si="6">P60*Q60</f>
        <v>127.00115199999999</v>
      </c>
      <c r="S60" s="147">
        <f>VLOOKUP(N60,Tarifa1,2)</f>
        <v>121.95</v>
      </c>
      <c r="T60" s="147">
        <f t="shared" ref="T60:T66" si="7">R60+S60</f>
        <v>248.95115199999998</v>
      </c>
      <c r="U60" s="147">
        <f>VLOOKUP(N60,Credito1,2)</f>
        <v>125.1</v>
      </c>
      <c r="V60" s="147">
        <f t="shared" ref="V60:V66" si="8">T60-U60</f>
        <v>123.85115199999998</v>
      </c>
      <c r="W60" s="149"/>
      <c r="X60" s="145">
        <f t="shared" ref="X60:X66" si="9">-IF(V60&gt;0,0,V60)</f>
        <v>0</v>
      </c>
      <c r="Y60" s="150">
        <f t="shared" ref="Y60:Y65" si="10">IF(V60&lt;0,0,V60)</f>
        <v>123.85115199999998</v>
      </c>
      <c r="Z60" s="151">
        <v>0</v>
      </c>
      <c r="AA60" s="145">
        <f t="shared" ref="AA60:AA66" si="11">SUM(Y60:Z60)</f>
        <v>123.85115199999998</v>
      </c>
      <c r="AB60" s="152">
        <f t="shared" ref="AB60:AB66" si="12">K60+X60-AA60</f>
        <v>3120.948848</v>
      </c>
      <c r="AC60" s="153"/>
    </row>
    <row r="61" spans="4:32" ht="24.95" customHeight="1">
      <c r="D61" s="51">
        <v>28</v>
      </c>
      <c r="E61" s="50" t="s">
        <v>96</v>
      </c>
      <c r="F61" s="50" t="s">
        <v>95</v>
      </c>
      <c r="G61" s="51">
        <v>15</v>
      </c>
      <c r="H61" s="143">
        <f t="shared" si="2"/>
        <v>217</v>
      </c>
      <c r="I61" s="144">
        <v>3255</v>
      </c>
      <c r="J61" s="145">
        <v>0</v>
      </c>
      <c r="K61" s="145">
        <f t="shared" si="3"/>
        <v>3255</v>
      </c>
      <c r="L61" s="146"/>
      <c r="M61" s="147">
        <v>0</v>
      </c>
      <c r="N61" s="147">
        <f t="shared" si="4"/>
        <v>3255</v>
      </c>
      <c r="O61" s="147">
        <f>VLOOKUP(N61,Tarifa1,1)</f>
        <v>2077.5100000000002</v>
      </c>
      <c r="P61" s="147">
        <f t="shared" si="5"/>
        <v>1177.4899999999998</v>
      </c>
      <c r="Q61" s="148">
        <f>VLOOKUP(N61,Tarifa1,3)</f>
        <v>0.10879999999999999</v>
      </c>
      <c r="R61" s="147">
        <f t="shared" si="6"/>
        <v>128.11091199999996</v>
      </c>
      <c r="S61" s="147">
        <f>VLOOKUP(N61,Tarifa1,2)</f>
        <v>121.95</v>
      </c>
      <c r="T61" s="147">
        <f t="shared" si="7"/>
        <v>250.06091199999997</v>
      </c>
      <c r="U61" s="147">
        <f>VLOOKUP(N61,Credito1,2)</f>
        <v>125.1</v>
      </c>
      <c r="V61" s="147">
        <f t="shared" si="8"/>
        <v>124.96091199999998</v>
      </c>
      <c r="W61" s="149"/>
      <c r="X61" s="145">
        <f t="shared" si="9"/>
        <v>0</v>
      </c>
      <c r="Y61" s="150">
        <f t="shared" si="10"/>
        <v>124.96091199999998</v>
      </c>
      <c r="Z61" s="151">
        <v>0</v>
      </c>
      <c r="AA61" s="145">
        <f t="shared" si="11"/>
        <v>124.96091199999998</v>
      </c>
      <c r="AB61" s="152">
        <f t="shared" si="12"/>
        <v>3130.039088</v>
      </c>
      <c r="AC61" s="153"/>
      <c r="AF61" s="181"/>
    </row>
    <row r="62" spans="4:32" ht="24.95" customHeight="1">
      <c r="D62" s="51">
        <v>29</v>
      </c>
      <c r="E62" s="50" t="s">
        <v>159</v>
      </c>
      <c r="F62" s="50" t="s">
        <v>95</v>
      </c>
      <c r="G62" s="51">
        <v>15</v>
      </c>
      <c r="H62" s="143">
        <f t="shared" si="2"/>
        <v>182.93333333333334</v>
      </c>
      <c r="I62" s="144">
        <v>2744</v>
      </c>
      <c r="J62" s="145">
        <v>0</v>
      </c>
      <c r="K62" s="145">
        <f t="shared" si="3"/>
        <v>2744</v>
      </c>
      <c r="L62" s="146"/>
      <c r="M62" s="147">
        <v>0</v>
      </c>
      <c r="N62" s="147">
        <f t="shared" si="4"/>
        <v>2744</v>
      </c>
      <c r="O62" s="147">
        <f>VLOOKUP(N62,Tarifa1,1)</f>
        <v>2077.5100000000002</v>
      </c>
      <c r="P62" s="147">
        <f t="shared" si="5"/>
        <v>666.48999999999978</v>
      </c>
      <c r="Q62" s="148">
        <f>VLOOKUP(N62,Tarifa1,3)</f>
        <v>0.10879999999999999</v>
      </c>
      <c r="R62" s="147">
        <f t="shared" si="6"/>
        <v>72.514111999999969</v>
      </c>
      <c r="S62" s="147">
        <f>VLOOKUP(N62,Tarifa1,2)</f>
        <v>121.95</v>
      </c>
      <c r="T62" s="147">
        <f t="shared" si="7"/>
        <v>194.46411199999997</v>
      </c>
      <c r="U62" s="147">
        <f>VLOOKUP(N62,Credito1,2)</f>
        <v>145.35</v>
      </c>
      <c r="V62" s="147">
        <f t="shared" si="8"/>
        <v>49.114111999999977</v>
      </c>
      <c r="W62" s="149"/>
      <c r="X62" s="145">
        <f t="shared" si="9"/>
        <v>0</v>
      </c>
      <c r="Y62" s="150">
        <f t="shared" si="10"/>
        <v>49.114111999999977</v>
      </c>
      <c r="Z62" s="151">
        <v>0</v>
      </c>
      <c r="AA62" s="145">
        <f t="shared" si="11"/>
        <v>49.114111999999977</v>
      </c>
      <c r="AB62" s="152">
        <f t="shared" si="12"/>
        <v>2694.8858879999998</v>
      </c>
      <c r="AC62" s="153"/>
      <c r="AF62" s="181"/>
    </row>
    <row r="63" spans="4:32" ht="24.95" customHeight="1">
      <c r="D63" s="51">
        <v>30</v>
      </c>
      <c r="E63" s="50" t="s">
        <v>98</v>
      </c>
      <c r="F63" s="50" t="s">
        <v>95</v>
      </c>
      <c r="G63" s="51">
        <v>15</v>
      </c>
      <c r="H63" s="143">
        <f t="shared" si="2"/>
        <v>140.33333333333334</v>
      </c>
      <c r="I63" s="144">
        <v>2105</v>
      </c>
      <c r="J63" s="145">
        <v>0</v>
      </c>
      <c r="K63" s="145">
        <f t="shared" si="3"/>
        <v>2105</v>
      </c>
      <c r="L63" s="146"/>
      <c r="M63" s="147">
        <v>0</v>
      </c>
      <c r="N63" s="147">
        <f t="shared" si="4"/>
        <v>2105</v>
      </c>
      <c r="O63" s="147">
        <f>VLOOKUP(N63,Tarifa1,1)</f>
        <v>2077.5100000000002</v>
      </c>
      <c r="P63" s="147">
        <f t="shared" si="5"/>
        <v>27.489999999999782</v>
      </c>
      <c r="Q63" s="148">
        <f>VLOOKUP(N63,Tarifa1,3)</f>
        <v>0.10879999999999999</v>
      </c>
      <c r="R63" s="147">
        <f t="shared" si="6"/>
        <v>2.9909119999999763</v>
      </c>
      <c r="S63" s="147">
        <f>VLOOKUP(N63,Tarifa1,2)</f>
        <v>121.95</v>
      </c>
      <c r="T63" s="147">
        <f t="shared" si="7"/>
        <v>124.94091199999998</v>
      </c>
      <c r="U63" s="147">
        <f>VLOOKUP(N63,Credito1,2)</f>
        <v>188.7</v>
      </c>
      <c r="V63" s="147">
        <f t="shared" si="8"/>
        <v>-63.759088000000006</v>
      </c>
      <c r="W63" s="149"/>
      <c r="X63" s="145">
        <f t="shared" si="9"/>
        <v>63.759088000000006</v>
      </c>
      <c r="Y63" s="150">
        <f t="shared" si="10"/>
        <v>0</v>
      </c>
      <c r="Z63" s="151">
        <v>0</v>
      </c>
      <c r="AA63" s="145">
        <f t="shared" si="11"/>
        <v>0</v>
      </c>
      <c r="AB63" s="152">
        <f t="shared" si="12"/>
        <v>2168.7590879999998</v>
      </c>
      <c r="AC63" s="153"/>
      <c r="AF63" s="181"/>
    </row>
    <row r="64" spans="4:32" ht="24.95" customHeight="1">
      <c r="D64" s="51">
        <v>31</v>
      </c>
      <c r="E64" s="50" t="s">
        <v>100</v>
      </c>
      <c r="F64" s="50" t="s">
        <v>101</v>
      </c>
      <c r="G64" s="51">
        <v>15</v>
      </c>
      <c r="H64" s="143">
        <f t="shared" si="2"/>
        <v>174.26666666666668</v>
      </c>
      <c r="I64" s="144">
        <v>2614</v>
      </c>
      <c r="J64" s="145">
        <v>0</v>
      </c>
      <c r="K64" s="145">
        <f>TRUNC(SUM(G64*H64)+J64,2)</f>
        <v>2614</v>
      </c>
      <c r="L64" s="146"/>
      <c r="M64" s="147">
        <v>0</v>
      </c>
      <c r="N64" s="147">
        <f>K64+M64</f>
        <v>2614</v>
      </c>
      <c r="O64" s="147">
        <f>IF(K64=0,0,VLOOKUP(N64,Tarifa1,1))</f>
        <v>2077.5100000000002</v>
      </c>
      <c r="P64" s="147">
        <f>N64-O64</f>
        <v>536.48999999999978</v>
      </c>
      <c r="Q64" s="148">
        <f>IF(K64=0,0,VLOOKUP(N64,Tarifa1,3))</f>
        <v>0.10879999999999999</v>
      </c>
      <c r="R64" s="147">
        <f>P64*Q64</f>
        <v>58.37011199999997</v>
      </c>
      <c r="S64" s="147">
        <f>IF(K64=0,0,VLOOKUP(N64,Tarifa1,2))</f>
        <v>121.95</v>
      </c>
      <c r="T64" s="147">
        <f>R64+S64</f>
        <v>180.32011199999997</v>
      </c>
      <c r="U64" s="147">
        <f>IF(K64=0,0,VLOOKUP(N64,Credito1,2))</f>
        <v>160.35</v>
      </c>
      <c r="V64" s="147">
        <f>T64-U64</f>
        <v>19.970111999999972</v>
      </c>
      <c r="W64" s="149"/>
      <c r="X64" s="145">
        <f>-IF(V64&gt;0,0,V64)</f>
        <v>0</v>
      </c>
      <c r="Y64" s="150">
        <f>IF(V64&lt;0,0,V64)</f>
        <v>19.970111999999972</v>
      </c>
      <c r="Z64" s="151">
        <v>0</v>
      </c>
      <c r="AA64" s="145">
        <f>SUM(Y64:Z64)</f>
        <v>19.970111999999972</v>
      </c>
      <c r="AB64" s="152">
        <f>K64+X64-AA64</f>
        <v>2594.029888</v>
      </c>
      <c r="AC64" s="153"/>
    </row>
    <row r="65" spans="4:32" ht="24.95" customHeight="1">
      <c r="D65" s="51">
        <v>32</v>
      </c>
      <c r="E65" s="50" t="s">
        <v>148</v>
      </c>
      <c r="F65" s="50" t="s">
        <v>101</v>
      </c>
      <c r="G65" s="51">
        <v>15</v>
      </c>
      <c r="H65" s="143">
        <f t="shared" si="2"/>
        <v>174.26666666666668</v>
      </c>
      <c r="I65" s="144">
        <v>2614</v>
      </c>
      <c r="J65" s="145">
        <v>0</v>
      </c>
      <c r="K65" s="145">
        <f t="shared" si="3"/>
        <v>2614</v>
      </c>
      <c r="L65" s="146"/>
      <c r="M65" s="147">
        <v>0</v>
      </c>
      <c r="N65" s="147">
        <f t="shared" si="4"/>
        <v>2614</v>
      </c>
      <c r="O65" s="147">
        <f>IF(K65=0,0,VLOOKUP(N65,Tarifa1,1))</f>
        <v>2077.5100000000002</v>
      </c>
      <c r="P65" s="147">
        <f t="shared" si="5"/>
        <v>536.48999999999978</v>
      </c>
      <c r="Q65" s="148">
        <f>IF(K65=0,0,VLOOKUP(N65,Tarifa1,3))</f>
        <v>0.10879999999999999</v>
      </c>
      <c r="R65" s="147">
        <f t="shared" si="6"/>
        <v>58.37011199999997</v>
      </c>
      <c r="S65" s="147">
        <f>IF(K65=0,0,VLOOKUP(N65,Tarifa1,2))</f>
        <v>121.95</v>
      </c>
      <c r="T65" s="147">
        <f t="shared" si="7"/>
        <v>180.32011199999997</v>
      </c>
      <c r="U65" s="147">
        <f>IF(K65=0,0,VLOOKUP(N65,Credito1,2))</f>
        <v>160.35</v>
      </c>
      <c r="V65" s="147">
        <f t="shared" si="8"/>
        <v>19.970111999999972</v>
      </c>
      <c r="W65" s="149"/>
      <c r="X65" s="145">
        <f t="shared" si="9"/>
        <v>0</v>
      </c>
      <c r="Y65" s="150">
        <f t="shared" si="10"/>
        <v>19.970111999999972</v>
      </c>
      <c r="Z65" s="151">
        <v>0</v>
      </c>
      <c r="AA65" s="145">
        <f t="shared" si="11"/>
        <v>19.970111999999972</v>
      </c>
      <c r="AB65" s="152">
        <f t="shared" si="12"/>
        <v>2594.029888</v>
      </c>
      <c r="AC65" s="153"/>
      <c r="AF65" s="181"/>
    </row>
    <row r="66" spans="4:32" ht="24.95" customHeight="1">
      <c r="D66" s="51">
        <v>33</v>
      </c>
      <c r="E66" s="50" t="s">
        <v>300</v>
      </c>
      <c r="F66" s="50" t="s">
        <v>95</v>
      </c>
      <c r="G66" s="51">
        <v>15</v>
      </c>
      <c r="H66" s="143">
        <f>I66/15</f>
        <v>171.66666666666666</v>
      </c>
      <c r="I66" s="53">
        <v>2575</v>
      </c>
      <c r="J66" s="54">
        <v>0</v>
      </c>
      <c r="K66" s="55">
        <f>TRUNC(SUM(G66*H66)+J66,2)</f>
        <v>2575</v>
      </c>
      <c r="L66" s="56"/>
      <c r="M66" s="57">
        <v>0</v>
      </c>
      <c r="N66" s="57">
        <f t="shared" si="4"/>
        <v>2575</v>
      </c>
      <c r="O66" s="57">
        <f>VLOOKUP(N66,Tarifa1,1)</f>
        <v>2077.5100000000002</v>
      </c>
      <c r="P66" s="57">
        <f t="shared" si="5"/>
        <v>497.48999999999978</v>
      </c>
      <c r="Q66" s="58">
        <f>VLOOKUP(N66,Tarifa1,3)</f>
        <v>0.10879999999999999</v>
      </c>
      <c r="R66" s="57">
        <f t="shared" si="6"/>
        <v>54.126911999999976</v>
      </c>
      <c r="S66" s="57">
        <f>VLOOKUP(N66,Tarifa1,2)</f>
        <v>121.95</v>
      </c>
      <c r="T66" s="57">
        <f t="shared" si="7"/>
        <v>176.07691199999999</v>
      </c>
      <c r="U66" s="57">
        <f>VLOOKUP(N66,Credito1,2)</f>
        <v>160.35</v>
      </c>
      <c r="V66" s="57">
        <f t="shared" si="8"/>
        <v>15.726911999999999</v>
      </c>
      <c r="W66" s="59"/>
      <c r="X66" s="55">
        <f t="shared" si="9"/>
        <v>0</v>
      </c>
      <c r="Y66" s="60">
        <f>IF(V66&lt;0,0,V66)</f>
        <v>15.726911999999999</v>
      </c>
      <c r="Z66" s="61">
        <v>0</v>
      </c>
      <c r="AA66" s="55">
        <f t="shared" si="11"/>
        <v>15.726911999999999</v>
      </c>
      <c r="AB66" s="62">
        <f t="shared" si="12"/>
        <v>2559.2730879999999</v>
      </c>
      <c r="AC66" s="153"/>
      <c r="AF66" s="181"/>
    </row>
    <row r="67" spans="4:32" ht="24.95" customHeight="1">
      <c r="D67" s="51"/>
      <c r="E67" s="67" t="s">
        <v>102</v>
      </c>
      <c r="F67" s="50"/>
      <c r="G67" s="51"/>
      <c r="H67" s="143"/>
      <c r="I67" s="144"/>
      <c r="J67" s="145"/>
      <c r="K67" s="145"/>
      <c r="L67" s="146"/>
      <c r="M67" s="147"/>
      <c r="N67" s="147"/>
      <c r="O67" s="147"/>
      <c r="P67" s="147"/>
      <c r="Q67" s="148"/>
      <c r="R67" s="147"/>
      <c r="S67" s="147"/>
      <c r="T67" s="147"/>
      <c r="U67" s="147"/>
      <c r="V67" s="147"/>
      <c r="W67" s="149"/>
      <c r="X67" s="145"/>
      <c r="Y67" s="150"/>
      <c r="Z67" s="151"/>
      <c r="AA67" s="145"/>
      <c r="AB67" s="152"/>
      <c r="AC67" s="153"/>
      <c r="AF67" s="181"/>
    </row>
    <row r="68" spans="4:32" ht="24.95" customHeight="1">
      <c r="D68" s="51">
        <v>34</v>
      </c>
      <c r="E68" s="50" t="s">
        <v>180</v>
      </c>
      <c r="F68" s="50" t="s">
        <v>103</v>
      </c>
      <c r="G68" s="51">
        <v>15</v>
      </c>
      <c r="H68" s="143">
        <f t="shared" si="2"/>
        <v>133.66666666666666</v>
      </c>
      <c r="I68" s="144">
        <v>2005</v>
      </c>
      <c r="J68" s="145">
        <v>0</v>
      </c>
      <c r="K68" s="145">
        <f>TRUNC(SUM(G68*H68)+J68,2)</f>
        <v>2005</v>
      </c>
      <c r="L68" s="146"/>
      <c r="M68" s="147">
        <v>0</v>
      </c>
      <c r="N68" s="147">
        <f>K68+M68</f>
        <v>2005</v>
      </c>
      <c r="O68" s="147">
        <f>VLOOKUP(N68,Tarifa1,1)</f>
        <v>244.81</v>
      </c>
      <c r="P68" s="147">
        <f>N68-O68</f>
        <v>1760.19</v>
      </c>
      <c r="Q68" s="148">
        <f>VLOOKUP(N68,Tarifa1,3)</f>
        <v>6.4000000000000001E-2</v>
      </c>
      <c r="R68" s="147">
        <f>P68*Q68</f>
        <v>112.65216000000001</v>
      </c>
      <c r="S68" s="147">
        <f>VLOOKUP(N68,Tarifa1,2)</f>
        <v>4.6500000000000004</v>
      </c>
      <c r="T68" s="147">
        <f>R68+S68</f>
        <v>117.30216000000001</v>
      </c>
      <c r="U68" s="147">
        <f>VLOOKUP(N68,Credito1,2)</f>
        <v>188.7</v>
      </c>
      <c r="V68" s="147">
        <f>T68-U68</f>
        <v>-71.397839999999974</v>
      </c>
      <c r="W68" s="149"/>
      <c r="X68" s="145">
        <f>-IF(V68&gt;0,0,V68)</f>
        <v>71.397839999999974</v>
      </c>
      <c r="Y68" s="150">
        <f>IF(V68&lt;0,0,V68)</f>
        <v>0</v>
      </c>
      <c r="Z68" s="151">
        <v>0</v>
      </c>
      <c r="AA68" s="145">
        <f>SUM(Y68:Z68)</f>
        <v>0</v>
      </c>
      <c r="AB68" s="152">
        <f>K68+X68-AA68</f>
        <v>2076.3978400000001</v>
      </c>
      <c r="AC68" s="153"/>
      <c r="AF68" s="181"/>
    </row>
    <row r="69" spans="4:32" ht="24.95" customHeight="1"/>
    <row r="70" spans="4:32" ht="24.95" customHeight="1"/>
    <row r="71" spans="4:32" ht="24.95" customHeight="1">
      <c r="D71" s="333" t="s">
        <v>68</v>
      </c>
      <c r="E71" s="334"/>
      <c r="F71" s="334"/>
      <c r="G71" s="334"/>
      <c r="H71" s="334"/>
      <c r="I71" s="334"/>
      <c r="J71" s="334"/>
      <c r="K71" s="334"/>
      <c r="L71" s="334"/>
      <c r="M71" s="334"/>
      <c r="N71" s="334"/>
      <c r="O71" s="334"/>
      <c r="P71" s="334"/>
      <c r="Q71" s="334"/>
      <c r="R71" s="334"/>
      <c r="S71" s="334"/>
      <c r="T71" s="334"/>
      <c r="U71" s="334"/>
      <c r="V71" s="334"/>
      <c r="W71" s="334"/>
      <c r="X71" s="334"/>
      <c r="Y71" s="334"/>
      <c r="Z71" s="334"/>
      <c r="AA71" s="334"/>
      <c r="AB71" s="334"/>
      <c r="AC71" s="334"/>
    </row>
    <row r="72" spans="4:32" ht="24.95" customHeight="1">
      <c r="D72" s="331" t="str">
        <f>D39</f>
        <v>SUELDOS 16 AL 30 DE NOVIEMBRE DE 2016</v>
      </c>
      <c r="E72" s="332"/>
      <c r="F72" s="332"/>
      <c r="G72" s="332"/>
      <c r="H72" s="332"/>
      <c r="I72" s="332"/>
      <c r="J72" s="332"/>
      <c r="K72" s="332"/>
      <c r="L72" s="332"/>
      <c r="M72" s="332"/>
      <c r="N72" s="332"/>
      <c r="O72" s="332"/>
      <c r="P72" s="332"/>
      <c r="Q72" s="332"/>
      <c r="R72" s="332"/>
      <c r="S72" s="332"/>
      <c r="T72" s="332"/>
      <c r="U72" s="332"/>
      <c r="V72" s="332"/>
      <c r="W72" s="332"/>
      <c r="X72" s="332"/>
      <c r="Y72" s="332"/>
      <c r="Z72" s="332"/>
      <c r="AA72" s="332"/>
      <c r="AB72" s="332"/>
      <c r="AC72" s="332"/>
    </row>
    <row r="73" spans="4:32" ht="24.95" customHeight="1">
      <c r="D73" s="331" t="s">
        <v>70</v>
      </c>
      <c r="E73" s="332"/>
      <c r="F73" s="332"/>
      <c r="G73" s="332"/>
      <c r="H73" s="332"/>
      <c r="I73" s="332"/>
      <c r="J73" s="332"/>
      <c r="K73" s="332"/>
      <c r="L73" s="332"/>
      <c r="M73" s="332"/>
      <c r="N73" s="332"/>
      <c r="O73" s="332"/>
      <c r="P73" s="332"/>
      <c r="Q73" s="332"/>
      <c r="R73" s="332"/>
      <c r="S73" s="332"/>
      <c r="T73" s="332"/>
      <c r="U73" s="332"/>
      <c r="V73" s="332"/>
      <c r="W73" s="332"/>
      <c r="X73" s="332"/>
      <c r="Y73" s="332"/>
      <c r="Z73" s="332"/>
      <c r="AA73" s="332"/>
      <c r="AB73" s="332"/>
      <c r="AC73" s="332"/>
    </row>
    <row r="74" spans="4:32" ht="18" customHeight="1">
      <c r="D74" s="121"/>
      <c r="E74" s="121"/>
      <c r="F74" s="121"/>
      <c r="G74" s="122" t="s">
        <v>22</v>
      </c>
      <c r="H74" s="122" t="s">
        <v>6</v>
      </c>
      <c r="I74" s="328" t="s">
        <v>1</v>
      </c>
      <c r="J74" s="329"/>
      <c r="K74" s="330"/>
      <c r="L74" s="123"/>
      <c r="M74" s="122" t="s">
        <v>25</v>
      </c>
      <c r="N74" s="124"/>
      <c r="O74" s="328" t="s">
        <v>9</v>
      </c>
      <c r="P74" s="329"/>
      <c r="Q74" s="329"/>
      <c r="R74" s="329"/>
      <c r="S74" s="329"/>
      <c r="T74" s="330"/>
      <c r="U74" s="122" t="s">
        <v>29</v>
      </c>
      <c r="V74" s="122" t="s">
        <v>10</v>
      </c>
      <c r="W74" s="123"/>
      <c r="X74" s="122" t="s">
        <v>53</v>
      </c>
      <c r="Y74" s="328" t="s">
        <v>2</v>
      </c>
      <c r="Z74" s="329"/>
      <c r="AA74" s="330"/>
      <c r="AB74" s="122" t="s">
        <v>0</v>
      </c>
      <c r="AC74" s="125"/>
    </row>
    <row r="75" spans="4:32" ht="18" customHeight="1">
      <c r="D75" s="126" t="s">
        <v>21</v>
      </c>
      <c r="E75" s="126"/>
      <c r="F75" s="126"/>
      <c r="G75" s="127" t="s">
        <v>23</v>
      </c>
      <c r="H75" s="128" t="s">
        <v>24</v>
      </c>
      <c r="I75" s="122" t="s">
        <v>6</v>
      </c>
      <c r="J75" s="122" t="s">
        <v>61</v>
      </c>
      <c r="K75" s="122" t="s">
        <v>27</v>
      </c>
      <c r="L75" s="123"/>
      <c r="M75" s="128" t="s">
        <v>26</v>
      </c>
      <c r="N75" s="124" t="s">
        <v>31</v>
      </c>
      <c r="O75" s="124" t="s">
        <v>12</v>
      </c>
      <c r="P75" s="124" t="s">
        <v>33</v>
      </c>
      <c r="Q75" s="124" t="s">
        <v>35</v>
      </c>
      <c r="R75" s="124" t="s">
        <v>36</v>
      </c>
      <c r="S75" s="124" t="s">
        <v>14</v>
      </c>
      <c r="T75" s="124" t="s">
        <v>10</v>
      </c>
      <c r="U75" s="128" t="s">
        <v>39</v>
      </c>
      <c r="V75" s="128" t="s">
        <v>40</v>
      </c>
      <c r="W75" s="123"/>
      <c r="X75" s="128" t="s">
        <v>30</v>
      </c>
      <c r="Y75" s="122" t="s">
        <v>3</v>
      </c>
      <c r="Z75" s="122" t="s">
        <v>57</v>
      </c>
      <c r="AA75" s="122" t="s">
        <v>7</v>
      </c>
      <c r="AB75" s="128" t="s">
        <v>4</v>
      </c>
      <c r="AC75" s="129" t="s">
        <v>60</v>
      </c>
    </row>
    <row r="76" spans="4:32" ht="18" customHeight="1">
      <c r="D76" s="130"/>
      <c r="E76" s="131" t="s">
        <v>73</v>
      </c>
      <c r="F76" s="131" t="s">
        <v>236</v>
      </c>
      <c r="G76" s="128"/>
      <c r="H76" s="128"/>
      <c r="I76" s="128" t="s">
        <v>46</v>
      </c>
      <c r="J76" s="128" t="s">
        <v>62</v>
      </c>
      <c r="K76" s="128" t="s">
        <v>28</v>
      </c>
      <c r="L76" s="123"/>
      <c r="M76" s="128" t="s">
        <v>42</v>
      </c>
      <c r="N76" s="122" t="s">
        <v>32</v>
      </c>
      <c r="O76" s="122" t="s">
        <v>13</v>
      </c>
      <c r="P76" s="122" t="s">
        <v>34</v>
      </c>
      <c r="Q76" s="122" t="s">
        <v>34</v>
      </c>
      <c r="R76" s="122" t="s">
        <v>37</v>
      </c>
      <c r="S76" s="122" t="s">
        <v>15</v>
      </c>
      <c r="T76" s="122" t="s">
        <v>38</v>
      </c>
      <c r="U76" s="128" t="s">
        <v>19</v>
      </c>
      <c r="V76" s="132" t="s">
        <v>235</v>
      </c>
      <c r="W76" s="133"/>
      <c r="X76" s="128" t="s">
        <v>52</v>
      </c>
      <c r="Y76" s="128"/>
      <c r="Z76" s="128"/>
      <c r="AA76" s="128" t="s">
        <v>43</v>
      </c>
      <c r="AB76" s="128" t="s">
        <v>5</v>
      </c>
      <c r="AC76" s="134"/>
    </row>
    <row r="77" spans="4:32" ht="24.95" customHeight="1">
      <c r="D77" s="51"/>
      <c r="E77" s="67" t="s">
        <v>105</v>
      </c>
      <c r="F77" s="50"/>
      <c r="G77" s="51"/>
      <c r="H77" s="143"/>
      <c r="I77" s="144"/>
      <c r="J77" s="145"/>
      <c r="K77" s="145"/>
      <c r="L77" s="146"/>
      <c r="M77" s="147"/>
      <c r="N77" s="147"/>
      <c r="O77" s="147"/>
      <c r="P77" s="147"/>
      <c r="Q77" s="148"/>
      <c r="R77" s="147"/>
      <c r="S77" s="147"/>
      <c r="T77" s="147"/>
      <c r="U77" s="147"/>
      <c r="V77" s="147"/>
      <c r="W77" s="149"/>
      <c r="X77" s="145"/>
      <c r="Y77" s="150"/>
      <c r="Z77" s="151"/>
      <c r="AA77" s="145"/>
      <c r="AB77" s="152"/>
      <c r="AC77" s="153"/>
    </row>
    <row r="78" spans="4:32" ht="24.95" customHeight="1">
      <c r="D78" s="51">
        <v>35</v>
      </c>
      <c r="E78" s="50" t="s">
        <v>206</v>
      </c>
      <c r="F78" s="50" t="s">
        <v>106</v>
      </c>
      <c r="G78" s="51">
        <v>15</v>
      </c>
      <c r="H78" s="143">
        <f>I78/15</f>
        <v>178.53333333333333</v>
      </c>
      <c r="I78" s="144">
        <v>2678</v>
      </c>
      <c r="J78" s="145">
        <v>0</v>
      </c>
      <c r="K78" s="145">
        <f>TRUNC(SUM(G78*H78)+J78,2)</f>
        <v>2678</v>
      </c>
      <c r="L78" s="146"/>
      <c r="M78" s="147">
        <v>0</v>
      </c>
      <c r="N78" s="147">
        <f>K78+M78</f>
        <v>2678</v>
      </c>
      <c r="O78" s="147">
        <f>VLOOKUP(N78,Tarifa1,1)</f>
        <v>2077.5100000000002</v>
      </c>
      <c r="P78" s="147">
        <f>N78-O78</f>
        <v>600.48999999999978</v>
      </c>
      <c r="Q78" s="148">
        <f>VLOOKUP(N78,Tarifa1,3)</f>
        <v>0.10879999999999999</v>
      </c>
      <c r="R78" s="147">
        <f>P78*Q78</f>
        <v>65.333311999999978</v>
      </c>
      <c r="S78" s="147">
        <f>VLOOKUP(N78,Tarifa1,2)</f>
        <v>121.95</v>
      </c>
      <c r="T78" s="147">
        <f>R78+S78</f>
        <v>187.28331199999997</v>
      </c>
      <c r="U78" s="147">
        <f>VLOOKUP(N78,Credito1,2)</f>
        <v>145.35</v>
      </c>
      <c r="V78" s="147">
        <f>T78-U78</f>
        <v>41.933311999999972</v>
      </c>
      <c r="W78" s="149"/>
      <c r="X78" s="145">
        <f>-IF(V78&gt;0,0,V78)</f>
        <v>0</v>
      </c>
      <c r="Y78" s="150">
        <f>IF(V78&lt;0,0,V78)</f>
        <v>41.933311999999972</v>
      </c>
      <c r="Z78" s="151">
        <v>0</v>
      </c>
      <c r="AA78" s="145">
        <f>SUM(Y78:Z78)</f>
        <v>41.933311999999972</v>
      </c>
      <c r="AB78" s="152">
        <f>K78+X78-AA78</f>
        <v>2636.0666879999999</v>
      </c>
      <c r="AC78" s="153"/>
      <c r="AF78" s="181"/>
    </row>
    <row r="79" spans="4:32" ht="24.95" customHeight="1">
      <c r="D79" s="51">
        <v>36</v>
      </c>
      <c r="E79" s="50" t="s">
        <v>107</v>
      </c>
      <c r="F79" s="50" t="s">
        <v>108</v>
      </c>
      <c r="G79" s="51">
        <v>15</v>
      </c>
      <c r="H79" s="143">
        <f>I79/15</f>
        <v>137.93333333333334</v>
      </c>
      <c r="I79" s="144">
        <v>2069</v>
      </c>
      <c r="J79" s="145">
        <v>0</v>
      </c>
      <c r="K79" s="145">
        <f>TRUNC(SUM(G79*H79)+J79,2)</f>
        <v>2069</v>
      </c>
      <c r="L79" s="146"/>
      <c r="M79" s="147">
        <v>0</v>
      </c>
      <c r="N79" s="147">
        <f>K79+M79</f>
        <v>2069</v>
      </c>
      <c r="O79" s="147">
        <f>VLOOKUP(N79,Tarifa1,1)</f>
        <v>244.81</v>
      </c>
      <c r="P79" s="147">
        <f>N79-O79</f>
        <v>1824.19</v>
      </c>
      <c r="Q79" s="148">
        <f>VLOOKUP(N79,Tarifa1,3)</f>
        <v>6.4000000000000001E-2</v>
      </c>
      <c r="R79" s="147">
        <f>P79*Q79</f>
        <v>116.74816000000001</v>
      </c>
      <c r="S79" s="147">
        <f>VLOOKUP(N79,Tarifa1,2)</f>
        <v>4.6500000000000004</v>
      </c>
      <c r="T79" s="147">
        <f>R79+S79</f>
        <v>121.39816000000002</v>
      </c>
      <c r="U79" s="147">
        <f>VLOOKUP(N79,Credito1,2)</f>
        <v>188.7</v>
      </c>
      <c r="V79" s="147">
        <f>T79-U79</f>
        <v>-67.30183999999997</v>
      </c>
      <c r="W79" s="149"/>
      <c r="X79" s="145">
        <f>-IF(V79&gt;0,0,V79)</f>
        <v>67.30183999999997</v>
      </c>
      <c r="Y79" s="150">
        <f>IF(V79&lt;0,0,V79)</f>
        <v>0</v>
      </c>
      <c r="Z79" s="151">
        <v>0</v>
      </c>
      <c r="AA79" s="145">
        <f>SUM(Y79:Z79)</f>
        <v>0</v>
      </c>
      <c r="AB79" s="152">
        <f>K79+X79-AA79</f>
        <v>2136.3018400000001</v>
      </c>
      <c r="AC79" s="153"/>
      <c r="AF79" s="181"/>
    </row>
    <row r="80" spans="4:32" ht="24.95" customHeight="1">
      <c r="D80" s="51">
        <v>37</v>
      </c>
      <c r="E80" s="50" t="s">
        <v>109</v>
      </c>
      <c r="F80" s="50" t="s">
        <v>110</v>
      </c>
      <c r="G80" s="51">
        <v>15</v>
      </c>
      <c r="H80" s="143">
        <f>I80/15</f>
        <v>165.06666666666666</v>
      </c>
      <c r="I80" s="144">
        <v>2476</v>
      </c>
      <c r="J80" s="145">
        <v>0</v>
      </c>
      <c r="K80" s="145">
        <f>TRUNC(SUM(G80*H80)+J80,2)</f>
        <v>2476</v>
      </c>
      <c r="L80" s="146"/>
      <c r="M80" s="147">
        <v>0</v>
      </c>
      <c r="N80" s="147">
        <f>K80+M80</f>
        <v>2476</v>
      </c>
      <c r="O80" s="147">
        <f>VLOOKUP(N80,Tarifa1,1)</f>
        <v>2077.5100000000002</v>
      </c>
      <c r="P80" s="147">
        <f>N80-O80</f>
        <v>398.48999999999978</v>
      </c>
      <c r="Q80" s="148">
        <f>VLOOKUP(N80,Tarifa1,3)</f>
        <v>0.10879999999999999</v>
      </c>
      <c r="R80" s="147">
        <f>P80*Q80</f>
        <v>43.355711999999976</v>
      </c>
      <c r="S80" s="147">
        <f>VLOOKUP(N80,Tarifa1,2)</f>
        <v>121.95</v>
      </c>
      <c r="T80" s="147">
        <f>R80+S80</f>
        <v>165.30571199999997</v>
      </c>
      <c r="U80" s="147">
        <f>VLOOKUP(N80,Credito1,2)</f>
        <v>160.35</v>
      </c>
      <c r="V80" s="147">
        <f>T80-U80</f>
        <v>4.955711999999977</v>
      </c>
      <c r="W80" s="149"/>
      <c r="X80" s="145">
        <f>-IF(V80&gt;0,0,V80)</f>
        <v>0</v>
      </c>
      <c r="Y80" s="150">
        <f>IF(V80&lt;0,0,V80)</f>
        <v>4.955711999999977</v>
      </c>
      <c r="Z80" s="151">
        <v>0</v>
      </c>
      <c r="AA80" s="145">
        <f>SUM(Y80:Z80)</f>
        <v>4.955711999999977</v>
      </c>
      <c r="AB80" s="152">
        <f>K80+X80-AA80</f>
        <v>2471.0442880000001</v>
      </c>
      <c r="AC80" s="153"/>
      <c r="AF80" s="181"/>
    </row>
    <row r="81" spans="4:32" ht="24.95" customHeight="1">
      <c r="D81" s="51"/>
      <c r="E81" s="67" t="s">
        <v>276</v>
      </c>
      <c r="F81" s="50"/>
      <c r="G81" s="51"/>
      <c r="H81" s="143"/>
      <c r="I81" s="144"/>
      <c r="J81" s="145"/>
      <c r="K81" s="145"/>
      <c r="L81" s="146"/>
      <c r="M81" s="147"/>
      <c r="N81" s="147"/>
      <c r="O81" s="147"/>
      <c r="P81" s="147"/>
      <c r="Q81" s="148"/>
      <c r="R81" s="147"/>
      <c r="S81" s="147"/>
      <c r="T81" s="147"/>
      <c r="U81" s="147"/>
      <c r="V81" s="147"/>
      <c r="W81" s="149"/>
      <c r="X81" s="145"/>
      <c r="Y81" s="150"/>
      <c r="Z81" s="151"/>
      <c r="AA81" s="145"/>
      <c r="AB81" s="152"/>
      <c r="AC81" s="153"/>
    </row>
    <row r="82" spans="4:32" ht="24.95" customHeight="1">
      <c r="D82" s="51">
        <v>38</v>
      </c>
      <c r="E82" s="50" t="s">
        <v>251</v>
      </c>
      <c r="F82" s="50" t="s">
        <v>208</v>
      </c>
      <c r="G82" s="51">
        <v>15</v>
      </c>
      <c r="H82" s="143">
        <f>I82/15</f>
        <v>288.42666666666662</v>
      </c>
      <c r="I82" s="144">
        <v>4326.3999999999996</v>
      </c>
      <c r="J82" s="145">
        <v>0</v>
      </c>
      <c r="K82" s="145">
        <f>TRUNC(SUM(G82*H82)+J82,2)</f>
        <v>4326.3999999999996</v>
      </c>
      <c r="L82" s="146"/>
      <c r="M82" s="147">
        <v>0</v>
      </c>
      <c r="N82" s="147">
        <f>K82+M82</f>
        <v>4326.3999999999996</v>
      </c>
      <c r="O82" s="147">
        <f>VLOOKUP(N82,Tarifa1,1)</f>
        <v>4244.1099999999997</v>
      </c>
      <c r="P82" s="147">
        <f>N82-O82</f>
        <v>82.289999999999964</v>
      </c>
      <c r="Q82" s="148">
        <f>VLOOKUP(N82,Tarifa1,3)</f>
        <v>0.1792</v>
      </c>
      <c r="R82" s="147">
        <f>P82*Q82</f>
        <v>14.746367999999993</v>
      </c>
      <c r="S82" s="147">
        <f>VLOOKUP(N82,Tarifa1,2)</f>
        <v>388.05</v>
      </c>
      <c r="T82" s="147">
        <f>R82+S82</f>
        <v>402.79636800000003</v>
      </c>
      <c r="U82" s="147">
        <f>VLOOKUP(N82,Credito1,2)</f>
        <v>0</v>
      </c>
      <c r="V82" s="147">
        <f>T82-U82</f>
        <v>402.79636800000003</v>
      </c>
      <c r="W82" s="149"/>
      <c r="X82" s="145">
        <f>-IF(V82&gt;0,0,V82)</f>
        <v>0</v>
      </c>
      <c r="Y82" s="150">
        <f>IF(V82&lt;0,0,V82)</f>
        <v>402.79636800000003</v>
      </c>
      <c r="Z82" s="151">
        <v>0</v>
      </c>
      <c r="AA82" s="145">
        <f>SUM(Y82:Z82)</f>
        <v>402.79636800000003</v>
      </c>
      <c r="AB82" s="152">
        <f>K82+X82-AA82</f>
        <v>3923.6036319999994</v>
      </c>
      <c r="AC82" s="153"/>
    </row>
    <row r="83" spans="4:32" ht="24.95" customHeight="1">
      <c r="D83" s="51"/>
      <c r="E83" s="67" t="s">
        <v>277</v>
      </c>
      <c r="F83" s="50"/>
      <c r="G83" s="51"/>
      <c r="H83" s="143"/>
      <c r="I83" s="144"/>
      <c r="J83" s="145"/>
      <c r="K83" s="145"/>
      <c r="L83" s="146"/>
      <c r="M83" s="147"/>
      <c r="N83" s="147"/>
      <c r="O83" s="147"/>
      <c r="P83" s="147"/>
      <c r="Q83" s="148"/>
      <c r="R83" s="147"/>
      <c r="S83" s="147"/>
      <c r="T83" s="147"/>
      <c r="U83" s="147"/>
      <c r="V83" s="147"/>
      <c r="W83" s="149"/>
      <c r="X83" s="145"/>
      <c r="Y83" s="150"/>
      <c r="Z83" s="151"/>
      <c r="AA83" s="145"/>
      <c r="AB83" s="152"/>
      <c r="AC83" s="153"/>
    </row>
    <row r="84" spans="4:32" ht="24.95" customHeight="1">
      <c r="D84" s="51">
        <v>39</v>
      </c>
      <c r="E84" s="50" t="s">
        <v>289</v>
      </c>
      <c r="F84" s="50" t="s">
        <v>75</v>
      </c>
      <c r="G84" s="51">
        <v>15</v>
      </c>
      <c r="H84" s="143">
        <f>I84/15</f>
        <v>221.86666666666667</v>
      </c>
      <c r="I84" s="144">
        <v>3328</v>
      </c>
      <c r="J84" s="145">
        <v>0</v>
      </c>
      <c r="K84" s="145">
        <f>TRUNC(SUM(G84*H84)+J84,2)</f>
        <v>3328</v>
      </c>
      <c r="L84" s="146"/>
      <c r="M84" s="147">
        <v>0</v>
      </c>
      <c r="N84" s="147">
        <f>K84+M84</f>
        <v>3328</v>
      </c>
      <c r="O84" s="147">
        <f>VLOOKUP(N84,Tarifa1,1)</f>
        <v>2077.5100000000002</v>
      </c>
      <c r="P84" s="147">
        <f>N84-O84</f>
        <v>1250.4899999999998</v>
      </c>
      <c r="Q84" s="148">
        <f>VLOOKUP(N84,Tarifa1,3)</f>
        <v>0.10879999999999999</v>
      </c>
      <c r="R84" s="147">
        <f>P84*Q84</f>
        <v>136.05331199999998</v>
      </c>
      <c r="S84" s="147">
        <f>VLOOKUP(N84,Tarifa1,2)</f>
        <v>121.95</v>
      </c>
      <c r="T84" s="147">
        <f>R84+S84</f>
        <v>258.00331199999999</v>
      </c>
      <c r="U84" s="147">
        <f>VLOOKUP(N84,Credito1,2)</f>
        <v>125.1</v>
      </c>
      <c r="V84" s="147">
        <f>T84-U84</f>
        <v>132.903312</v>
      </c>
      <c r="W84" s="149"/>
      <c r="X84" s="145">
        <f>-IF(V84&gt;0,0,V84)</f>
        <v>0</v>
      </c>
      <c r="Y84" s="150">
        <f>IF(V84&lt;0,0,V84)</f>
        <v>132.903312</v>
      </c>
      <c r="Z84" s="151">
        <v>0</v>
      </c>
      <c r="AA84" s="145">
        <f>SUM(Y84:Z84)</f>
        <v>132.903312</v>
      </c>
      <c r="AB84" s="152">
        <f>K84+X84-AA84</f>
        <v>3195.0966880000001</v>
      </c>
      <c r="AC84" s="153"/>
      <c r="AE84" s="120">
        <f>I84*0.03</f>
        <v>99.84</v>
      </c>
      <c r="AF84" s="181"/>
    </row>
    <row r="85" spans="4:32" ht="24.95" customHeight="1">
      <c r="D85" s="51"/>
      <c r="E85" s="50"/>
      <c r="F85" s="50"/>
      <c r="G85" s="51"/>
      <c r="H85" s="143"/>
      <c r="I85" s="144"/>
      <c r="J85" s="145"/>
      <c r="K85" s="145"/>
      <c r="L85" s="146"/>
      <c r="M85" s="147"/>
      <c r="N85" s="147"/>
      <c r="O85" s="147"/>
      <c r="P85" s="147"/>
      <c r="Q85" s="148"/>
      <c r="R85" s="147"/>
      <c r="S85" s="147"/>
      <c r="T85" s="147"/>
      <c r="U85" s="147"/>
      <c r="V85" s="147"/>
      <c r="W85" s="149"/>
      <c r="X85" s="145"/>
      <c r="Y85" s="150"/>
      <c r="Z85" s="151"/>
      <c r="AA85" s="145"/>
      <c r="AB85" s="152"/>
      <c r="AC85" s="153"/>
    </row>
    <row r="86" spans="4:32" ht="24.95" customHeight="1">
      <c r="D86" s="51"/>
      <c r="E86" s="67" t="s">
        <v>111</v>
      </c>
      <c r="F86" s="50"/>
      <c r="G86" s="51"/>
      <c r="H86" s="143"/>
      <c r="I86" s="144"/>
      <c r="J86" s="145"/>
      <c r="K86" s="145"/>
      <c r="L86" s="146"/>
      <c r="M86" s="147"/>
      <c r="N86" s="147"/>
      <c r="O86" s="147"/>
      <c r="P86" s="147"/>
      <c r="Q86" s="148"/>
      <c r="R86" s="147"/>
      <c r="S86" s="147"/>
      <c r="T86" s="147"/>
      <c r="U86" s="147"/>
      <c r="V86" s="147"/>
      <c r="W86" s="149"/>
      <c r="X86" s="145"/>
      <c r="Y86" s="150"/>
      <c r="Z86" s="151"/>
      <c r="AA86" s="145"/>
      <c r="AB86" s="152"/>
      <c r="AC86" s="153"/>
    </row>
    <row r="87" spans="4:32" ht="24.95" customHeight="1">
      <c r="D87" s="51">
        <v>40</v>
      </c>
      <c r="E87" s="50" t="s">
        <v>207</v>
      </c>
      <c r="F87" s="50" t="s">
        <v>112</v>
      </c>
      <c r="G87" s="51">
        <v>15</v>
      </c>
      <c r="H87" s="143">
        <f>I87/15</f>
        <v>300</v>
      </c>
      <c r="I87" s="144">
        <v>4500</v>
      </c>
      <c r="J87" s="145">
        <v>0</v>
      </c>
      <c r="K87" s="145">
        <f>TRUNC(SUM(G87*H87)+J87,2)</f>
        <v>4500</v>
      </c>
      <c r="L87" s="146"/>
      <c r="M87" s="147">
        <v>0</v>
      </c>
      <c r="N87" s="147">
        <f>K87+M87</f>
        <v>4500</v>
      </c>
      <c r="O87" s="147">
        <f>VLOOKUP(N87,Tarifa1,1)</f>
        <v>4244.1099999999997</v>
      </c>
      <c r="P87" s="147">
        <f>N87-O87</f>
        <v>255.89000000000033</v>
      </c>
      <c r="Q87" s="148">
        <f>VLOOKUP(N87,Tarifa1,3)</f>
        <v>0.1792</v>
      </c>
      <c r="R87" s="147">
        <f>P87*Q87</f>
        <v>45.855488000000058</v>
      </c>
      <c r="S87" s="147">
        <f>VLOOKUP(N87,Tarifa1,2)</f>
        <v>388.05</v>
      </c>
      <c r="T87" s="147">
        <f>R87+S87</f>
        <v>433.90548800000005</v>
      </c>
      <c r="U87" s="147">
        <f>VLOOKUP(N87,Credito1,2)</f>
        <v>0</v>
      </c>
      <c r="V87" s="147">
        <f>T87-U87</f>
        <v>433.90548800000005</v>
      </c>
      <c r="W87" s="149"/>
      <c r="X87" s="145">
        <f>-IF(V87&gt;0,0,V87)</f>
        <v>0</v>
      </c>
      <c r="Y87" s="150">
        <f>IF(V87&lt;0,0,V87)</f>
        <v>433.90548800000005</v>
      </c>
      <c r="Z87" s="151">
        <v>0</v>
      </c>
      <c r="AA87" s="145">
        <f>SUM(Y87:Z87)</f>
        <v>433.90548800000005</v>
      </c>
      <c r="AB87" s="152">
        <f>K87+X87-AA87</f>
        <v>4066.0945120000001</v>
      </c>
      <c r="AC87" s="153"/>
    </row>
    <row r="88" spans="4:32" ht="24.95" customHeight="1">
      <c r="D88" s="51"/>
      <c r="E88" s="67" t="s">
        <v>113</v>
      </c>
      <c r="F88" s="50"/>
      <c r="G88" s="51"/>
      <c r="H88" s="143"/>
      <c r="I88" s="144"/>
      <c r="J88" s="145"/>
      <c r="K88" s="145"/>
      <c r="L88" s="146"/>
      <c r="M88" s="147"/>
      <c r="N88" s="147"/>
      <c r="O88" s="147"/>
      <c r="P88" s="147"/>
      <c r="Q88" s="148"/>
      <c r="R88" s="147"/>
      <c r="S88" s="147"/>
      <c r="T88" s="147"/>
      <c r="U88" s="147"/>
      <c r="V88" s="147"/>
      <c r="W88" s="149"/>
      <c r="X88" s="145"/>
      <c r="Y88" s="150"/>
      <c r="Z88" s="151"/>
      <c r="AA88" s="145"/>
      <c r="AB88" s="152"/>
      <c r="AC88" s="153"/>
    </row>
    <row r="89" spans="4:32" ht="24.95" customHeight="1">
      <c r="D89" s="51">
        <v>41</v>
      </c>
      <c r="E89" s="50" t="s">
        <v>114</v>
      </c>
      <c r="F89" s="50" t="s">
        <v>173</v>
      </c>
      <c r="G89" s="51">
        <v>15</v>
      </c>
      <c r="H89" s="143">
        <f>I89/15</f>
        <v>37.733333333333334</v>
      </c>
      <c r="I89" s="144">
        <v>566</v>
      </c>
      <c r="J89" s="145">
        <v>0</v>
      </c>
      <c r="K89" s="145">
        <f>TRUNC(SUM(G89*H89)+J89,2)</f>
        <v>566</v>
      </c>
      <c r="L89" s="146"/>
      <c r="M89" s="147">
        <v>0</v>
      </c>
      <c r="N89" s="147">
        <f>K89+M89</f>
        <v>566</v>
      </c>
      <c r="O89" s="147">
        <f>VLOOKUP(N89,Tarifa1,1)</f>
        <v>244.81</v>
      </c>
      <c r="P89" s="147">
        <f>N89-O89</f>
        <v>321.19</v>
      </c>
      <c r="Q89" s="148">
        <f>VLOOKUP(N89,Tarifa1,3)</f>
        <v>6.4000000000000001E-2</v>
      </c>
      <c r="R89" s="147">
        <f>P89*Q89</f>
        <v>20.556160000000002</v>
      </c>
      <c r="S89" s="147">
        <f>VLOOKUP(N89,Tarifa1,2)</f>
        <v>4.6500000000000004</v>
      </c>
      <c r="T89" s="147">
        <f>R89+S89</f>
        <v>25.206160000000004</v>
      </c>
      <c r="U89" s="147">
        <f>VLOOKUP(N89,Credito1,2)</f>
        <v>200.85</v>
      </c>
      <c r="V89" s="147">
        <f>T89-U89</f>
        <v>-175.64383999999998</v>
      </c>
      <c r="W89" s="149"/>
      <c r="X89" s="145">
        <f>-IF(V89&gt;0,0,V89)</f>
        <v>175.64383999999998</v>
      </c>
      <c r="Y89" s="150">
        <f>IF(V89&lt;0,0,V89)</f>
        <v>0</v>
      </c>
      <c r="Z89" s="151">
        <v>0</v>
      </c>
      <c r="AA89" s="145">
        <f>SUM(Y89:Z89)</f>
        <v>0</v>
      </c>
      <c r="AB89" s="152">
        <f>K89+X89-AA89</f>
        <v>741.64383999999995</v>
      </c>
      <c r="AC89" s="153"/>
      <c r="AF89" s="181"/>
    </row>
    <row r="90" spans="4:32" ht="24.95" customHeight="1">
      <c r="D90" s="51">
        <v>42</v>
      </c>
      <c r="E90" s="50" t="s">
        <v>115</v>
      </c>
      <c r="F90" s="50" t="s">
        <v>172</v>
      </c>
      <c r="G90" s="51">
        <v>15</v>
      </c>
      <c r="H90" s="143">
        <f>I90/15</f>
        <v>67.400000000000006</v>
      </c>
      <c r="I90" s="144">
        <v>1011</v>
      </c>
      <c r="J90" s="145">
        <v>0</v>
      </c>
      <c r="K90" s="145">
        <f>TRUNC(SUM(G90*H90)+J90,2)</f>
        <v>1011</v>
      </c>
      <c r="L90" s="146"/>
      <c r="M90" s="147">
        <v>0</v>
      </c>
      <c r="N90" s="147">
        <f>K90+M90</f>
        <v>1011</v>
      </c>
      <c r="O90" s="147">
        <f>VLOOKUP(N90,Tarifa1,1)</f>
        <v>244.81</v>
      </c>
      <c r="P90" s="147">
        <f>N90-O90</f>
        <v>766.19</v>
      </c>
      <c r="Q90" s="148">
        <f>VLOOKUP(N90,Tarifa1,3)</f>
        <v>6.4000000000000001E-2</v>
      </c>
      <c r="R90" s="147">
        <f>P90*Q90</f>
        <v>49.036160000000002</v>
      </c>
      <c r="S90" s="147">
        <f>VLOOKUP(N90,Tarifa1,2)</f>
        <v>4.6500000000000004</v>
      </c>
      <c r="T90" s="147">
        <f>R90+S90</f>
        <v>53.686160000000001</v>
      </c>
      <c r="U90" s="147">
        <f>VLOOKUP(N90,Credito1,2)</f>
        <v>200.7</v>
      </c>
      <c r="V90" s="147">
        <f>T90-U90</f>
        <v>-147.01383999999999</v>
      </c>
      <c r="W90" s="149"/>
      <c r="X90" s="145">
        <f>-IF(V90&gt;0,0,V90)</f>
        <v>147.01383999999999</v>
      </c>
      <c r="Y90" s="150">
        <f>IF(V90&lt;0,0,V90)</f>
        <v>0</v>
      </c>
      <c r="Z90" s="151">
        <v>0</v>
      </c>
      <c r="AA90" s="145">
        <f>SUM(Y90:Z90)</f>
        <v>0</v>
      </c>
      <c r="AB90" s="152">
        <f>K90+X90-AA90</f>
        <v>1158.0138400000001</v>
      </c>
      <c r="AC90" s="153"/>
      <c r="AF90" s="181"/>
    </row>
    <row r="91" spans="4:32" ht="24.95" customHeight="1">
      <c r="D91" s="51"/>
      <c r="E91" s="50"/>
      <c r="F91" s="50"/>
      <c r="G91" s="51"/>
      <c r="H91" s="143"/>
      <c r="I91" s="144"/>
      <c r="J91" s="145"/>
      <c r="K91" s="145"/>
      <c r="L91" s="146"/>
      <c r="M91" s="147"/>
      <c r="N91" s="147"/>
      <c r="O91" s="147"/>
      <c r="P91" s="147"/>
      <c r="Q91" s="148"/>
      <c r="R91" s="147"/>
      <c r="S91" s="147"/>
      <c r="T91" s="147"/>
      <c r="U91" s="147"/>
      <c r="V91" s="147"/>
      <c r="W91" s="149"/>
      <c r="X91" s="145"/>
      <c r="Y91" s="150"/>
      <c r="Z91" s="151"/>
      <c r="AA91" s="145"/>
      <c r="AB91" s="152"/>
      <c r="AC91" s="153"/>
    </row>
    <row r="92" spans="4:32" ht="24.95" customHeight="1"/>
    <row r="93" spans="4:32" ht="24.95" customHeight="1">
      <c r="D93" s="333" t="s">
        <v>68</v>
      </c>
      <c r="E93" s="334"/>
      <c r="F93" s="334"/>
      <c r="G93" s="334"/>
      <c r="H93" s="334"/>
      <c r="I93" s="334"/>
      <c r="J93" s="334"/>
      <c r="K93" s="334"/>
      <c r="L93" s="334"/>
      <c r="M93" s="334"/>
      <c r="N93" s="334"/>
      <c r="O93" s="334"/>
      <c r="P93" s="334"/>
      <c r="Q93" s="334"/>
      <c r="R93" s="334"/>
      <c r="S93" s="334"/>
      <c r="T93" s="334"/>
      <c r="U93" s="334"/>
      <c r="V93" s="334"/>
      <c r="W93" s="334"/>
      <c r="X93" s="334"/>
      <c r="Y93" s="334"/>
      <c r="Z93" s="334"/>
      <c r="AA93" s="334"/>
      <c r="AB93" s="334"/>
      <c r="AC93" s="334"/>
    </row>
    <row r="94" spans="4:32" ht="24.95" customHeight="1">
      <c r="D94" s="331" t="str">
        <f>D72</f>
        <v>SUELDOS 16 AL 30 DE NOVIEMBRE DE 2016</v>
      </c>
      <c r="E94" s="332"/>
      <c r="F94" s="332"/>
      <c r="G94" s="332"/>
      <c r="H94" s="332"/>
      <c r="I94" s="332"/>
      <c r="J94" s="332"/>
      <c r="K94" s="332"/>
      <c r="L94" s="332"/>
      <c r="M94" s="332"/>
      <c r="N94" s="332"/>
      <c r="O94" s="332"/>
      <c r="P94" s="332"/>
      <c r="Q94" s="332"/>
      <c r="R94" s="332"/>
      <c r="S94" s="332"/>
      <c r="T94" s="332"/>
      <c r="U94" s="332"/>
      <c r="V94" s="332"/>
      <c r="W94" s="332"/>
      <c r="X94" s="332"/>
      <c r="Y94" s="332"/>
      <c r="Z94" s="332"/>
      <c r="AA94" s="332"/>
      <c r="AB94" s="332"/>
      <c r="AC94" s="332"/>
    </row>
    <row r="95" spans="4:32" ht="24.95" customHeight="1">
      <c r="D95" s="331" t="s">
        <v>70</v>
      </c>
      <c r="E95" s="332"/>
      <c r="F95" s="332"/>
      <c r="G95" s="332"/>
      <c r="H95" s="332"/>
      <c r="I95" s="332"/>
      <c r="J95" s="332"/>
      <c r="K95" s="332"/>
      <c r="L95" s="332"/>
      <c r="M95" s="332"/>
      <c r="N95" s="332"/>
      <c r="O95" s="332"/>
      <c r="P95" s="332"/>
      <c r="Q95" s="332"/>
      <c r="R95" s="332"/>
      <c r="S95" s="332"/>
      <c r="T95" s="332"/>
      <c r="U95" s="332"/>
      <c r="V95" s="332"/>
      <c r="W95" s="332"/>
      <c r="X95" s="332"/>
      <c r="Y95" s="332"/>
      <c r="Z95" s="332"/>
      <c r="AA95" s="332"/>
      <c r="AB95" s="332"/>
      <c r="AC95" s="332"/>
    </row>
    <row r="96" spans="4:32" ht="18" customHeight="1">
      <c r="D96" s="121"/>
      <c r="E96" s="121"/>
      <c r="F96" s="121"/>
      <c r="G96" s="122" t="s">
        <v>22</v>
      </c>
      <c r="H96" s="122" t="s">
        <v>6</v>
      </c>
      <c r="I96" s="328" t="s">
        <v>1</v>
      </c>
      <c r="J96" s="329"/>
      <c r="K96" s="330"/>
      <c r="L96" s="123"/>
      <c r="M96" s="122" t="s">
        <v>25</v>
      </c>
      <c r="N96" s="124"/>
      <c r="O96" s="328" t="s">
        <v>9</v>
      </c>
      <c r="P96" s="329"/>
      <c r="Q96" s="329"/>
      <c r="R96" s="329"/>
      <c r="S96" s="329"/>
      <c r="T96" s="330"/>
      <c r="U96" s="122" t="s">
        <v>29</v>
      </c>
      <c r="V96" s="122" t="s">
        <v>10</v>
      </c>
      <c r="W96" s="123"/>
      <c r="X96" s="122" t="s">
        <v>53</v>
      </c>
      <c r="Y96" s="328" t="s">
        <v>2</v>
      </c>
      <c r="Z96" s="329"/>
      <c r="AA96" s="330"/>
      <c r="AB96" s="122" t="s">
        <v>0</v>
      </c>
      <c r="AC96" s="125"/>
    </row>
    <row r="97" spans="4:32" ht="18" customHeight="1">
      <c r="D97" s="126" t="s">
        <v>21</v>
      </c>
      <c r="E97" s="126"/>
      <c r="F97" s="126"/>
      <c r="G97" s="127" t="s">
        <v>23</v>
      </c>
      <c r="H97" s="128" t="s">
        <v>24</v>
      </c>
      <c r="I97" s="122" t="s">
        <v>6</v>
      </c>
      <c r="J97" s="122" t="s">
        <v>61</v>
      </c>
      <c r="K97" s="122" t="s">
        <v>27</v>
      </c>
      <c r="L97" s="123"/>
      <c r="M97" s="128" t="s">
        <v>26</v>
      </c>
      <c r="N97" s="124" t="s">
        <v>31</v>
      </c>
      <c r="O97" s="124" t="s">
        <v>12</v>
      </c>
      <c r="P97" s="124" t="s">
        <v>33</v>
      </c>
      <c r="Q97" s="124" t="s">
        <v>35</v>
      </c>
      <c r="R97" s="124" t="s">
        <v>36</v>
      </c>
      <c r="S97" s="124" t="s">
        <v>14</v>
      </c>
      <c r="T97" s="124" t="s">
        <v>10</v>
      </c>
      <c r="U97" s="128" t="s">
        <v>39</v>
      </c>
      <c r="V97" s="128" t="s">
        <v>40</v>
      </c>
      <c r="W97" s="123"/>
      <c r="X97" s="128" t="s">
        <v>30</v>
      </c>
      <c r="Y97" s="122" t="s">
        <v>3</v>
      </c>
      <c r="Z97" s="122" t="s">
        <v>57</v>
      </c>
      <c r="AA97" s="122" t="s">
        <v>7</v>
      </c>
      <c r="AB97" s="128" t="s">
        <v>4</v>
      </c>
      <c r="AC97" s="129" t="s">
        <v>60</v>
      </c>
    </row>
    <row r="98" spans="4:32" ht="18" customHeight="1">
      <c r="D98" s="130"/>
      <c r="E98" s="131" t="s">
        <v>73</v>
      </c>
      <c r="F98" s="131" t="s">
        <v>236</v>
      </c>
      <c r="G98" s="128"/>
      <c r="H98" s="128"/>
      <c r="I98" s="128" t="s">
        <v>46</v>
      </c>
      <c r="J98" s="128" t="s">
        <v>62</v>
      </c>
      <c r="K98" s="128" t="s">
        <v>28</v>
      </c>
      <c r="L98" s="123"/>
      <c r="M98" s="128" t="s">
        <v>42</v>
      </c>
      <c r="N98" s="122" t="s">
        <v>32</v>
      </c>
      <c r="O98" s="122" t="s">
        <v>13</v>
      </c>
      <c r="P98" s="122" t="s">
        <v>34</v>
      </c>
      <c r="Q98" s="122" t="s">
        <v>34</v>
      </c>
      <c r="R98" s="122" t="s">
        <v>37</v>
      </c>
      <c r="S98" s="122" t="s">
        <v>15</v>
      </c>
      <c r="T98" s="122" t="s">
        <v>38</v>
      </c>
      <c r="U98" s="128" t="s">
        <v>19</v>
      </c>
      <c r="V98" s="132" t="s">
        <v>235</v>
      </c>
      <c r="W98" s="133"/>
      <c r="X98" s="128" t="s">
        <v>52</v>
      </c>
      <c r="Y98" s="128"/>
      <c r="Z98" s="128"/>
      <c r="AA98" s="128" t="s">
        <v>43</v>
      </c>
      <c r="AB98" s="128" t="s">
        <v>5</v>
      </c>
      <c r="AC98" s="134"/>
    </row>
    <row r="99" spans="4:32" ht="18" customHeight="1">
      <c r="D99" s="186"/>
      <c r="E99" s="187" t="s">
        <v>116</v>
      </c>
      <c r="F99" s="188"/>
      <c r="G99" s="186"/>
      <c r="H99" s="126"/>
      <c r="I99" s="126"/>
      <c r="J99" s="126"/>
      <c r="K99" s="126"/>
      <c r="L99" s="168"/>
      <c r="M99" s="169"/>
      <c r="N99" s="169"/>
      <c r="O99" s="169"/>
      <c r="P99" s="169"/>
      <c r="Q99" s="169"/>
      <c r="R99" s="169"/>
      <c r="S99" s="169"/>
      <c r="T99" s="169"/>
      <c r="U99" s="169"/>
      <c r="V99" s="170"/>
      <c r="W99" s="140"/>
      <c r="X99" s="126"/>
      <c r="Y99" s="126"/>
      <c r="Z99" s="126"/>
      <c r="AA99" s="126"/>
      <c r="AB99" s="126"/>
      <c r="AC99" s="171"/>
    </row>
    <row r="100" spans="4:32" ht="24.95" customHeight="1">
      <c r="D100" s="51">
        <v>43</v>
      </c>
      <c r="E100" s="50" t="s">
        <v>243</v>
      </c>
      <c r="F100" s="50" t="s">
        <v>244</v>
      </c>
      <c r="G100" s="51">
        <v>15</v>
      </c>
      <c r="H100" s="143">
        <f t="shared" ref="H100:H110" si="13">I100/15</f>
        <v>76.599999999999994</v>
      </c>
      <c r="I100" s="144">
        <v>1149</v>
      </c>
      <c r="J100" s="145">
        <v>0</v>
      </c>
      <c r="K100" s="145">
        <f t="shared" ref="K100:K106" si="14">TRUNC(SUM(G100*H100)+J100,2)</f>
        <v>1149</v>
      </c>
      <c r="L100" s="146"/>
      <c r="M100" s="147">
        <v>0</v>
      </c>
      <c r="N100" s="147">
        <f t="shared" ref="N100:N106" si="15">K100+M100</f>
        <v>1149</v>
      </c>
      <c r="O100" s="147">
        <f t="shared" ref="O100:O106" si="16">VLOOKUP(N100,Tarifa1,1)</f>
        <v>244.81</v>
      </c>
      <c r="P100" s="147">
        <f t="shared" ref="P100:P106" si="17">N100-O100</f>
        <v>904.19</v>
      </c>
      <c r="Q100" s="148">
        <f t="shared" ref="Q100:Q106" si="18">VLOOKUP(N100,Tarifa1,3)</f>
        <v>6.4000000000000001E-2</v>
      </c>
      <c r="R100" s="147">
        <f t="shared" ref="R100:R106" si="19">P100*Q100</f>
        <v>57.868160000000003</v>
      </c>
      <c r="S100" s="147">
        <f t="shared" ref="S100:S106" si="20">VLOOKUP(N100,Tarifa1,2)</f>
        <v>4.6500000000000004</v>
      </c>
      <c r="T100" s="147">
        <f t="shared" ref="T100:T106" si="21">R100+S100</f>
        <v>62.518160000000002</v>
      </c>
      <c r="U100" s="147">
        <f t="shared" ref="U100:U106" si="22">VLOOKUP(N100,Credito1,2)</f>
        <v>200.7</v>
      </c>
      <c r="V100" s="147">
        <f t="shared" ref="V100:V106" si="23">T100-U100</f>
        <v>-138.18183999999999</v>
      </c>
      <c r="W100" s="149"/>
      <c r="X100" s="145">
        <f t="shared" ref="X100:X106" si="24">-IF(V100&gt;0,0,V100)</f>
        <v>138.18183999999999</v>
      </c>
      <c r="Y100" s="150">
        <f t="shared" ref="Y100:Y106" si="25">IF(V100&lt;0,0,V100)</f>
        <v>0</v>
      </c>
      <c r="Z100" s="151">
        <v>0</v>
      </c>
      <c r="AA100" s="145">
        <f>SUM(Y100:Z100)</f>
        <v>0</v>
      </c>
      <c r="AB100" s="152">
        <f>K100+X100-AA100</f>
        <v>1287.18184</v>
      </c>
      <c r="AC100" s="153"/>
      <c r="AF100" s="181"/>
    </row>
    <row r="101" spans="4:32" ht="24.95" customHeight="1">
      <c r="D101" s="51">
        <v>44</v>
      </c>
      <c r="E101" s="50" t="s">
        <v>245</v>
      </c>
      <c r="F101" s="50" t="s">
        <v>174</v>
      </c>
      <c r="G101" s="51">
        <v>15</v>
      </c>
      <c r="H101" s="143">
        <f t="shared" si="13"/>
        <v>76.599999999999994</v>
      </c>
      <c r="I101" s="144">
        <v>1149</v>
      </c>
      <c r="J101" s="145">
        <v>0</v>
      </c>
      <c r="K101" s="145">
        <f t="shared" si="14"/>
        <v>1149</v>
      </c>
      <c r="L101" s="146"/>
      <c r="M101" s="147">
        <v>0</v>
      </c>
      <c r="N101" s="147">
        <f t="shared" si="15"/>
        <v>1149</v>
      </c>
      <c r="O101" s="147">
        <f t="shared" si="16"/>
        <v>244.81</v>
      </c>
      <c r="P101" s="147">
        <f t="shared" si="17"/>
        <v>904.19</v>
      </c>
      <c r="Q101" s="148">
        <f t="shared" si="18"/>
        <v>6.4000000000000001E-2</v>
      </c>
      <c r="R101" s="147">
        <f t="shared" si="19"/>
        <v>57.868160000000003</v>
      </c>
      <c r="S101" s="147">
        <f t="shared" si="20"/>
        <v>4.6500000000000004</v>
      </c>
      <c r="T101" s="147">
        <f t="shared" si="21"/>
        <v>62.518160000000002</v>
      </c>
      <c r="U101" s="147">
        <f t="shared" si="22"/>
        <v>200.7</v>
      </c>
      <c r="V101" s="147">
        <f t="shared" si="23"/>
        <v>-138.18183999999999</v>
      </c>
      <c r="W101" s="149"/>
      <c r="X101" s="145">
        <f t="shared" si="24"/>
        <v>138.18183999999999</v>
      </c>
      <c r="Y101" s="150">
        <f t="shared" si="25"/>
        <v>0</v>
      </c>
      <c r="Z101" s="151">
        <v>0</v>
      </c>
      <c r="AA101" s="145">
        <f t="shared" ref="AA101:AA106" si="26">SUM(Y101:Z101)</f>
        <v>0</v>
      </c>
      <c r="AB101" s="152">
        <f t="shared" ref="AB101:AB106" si="27">K101+X101-AA101</f>
        <v>1287.18184</v>
      </c>
      <c r="AC101" s="153"/>
    </row>
    <row r="102" spans="4:32" ht="24.95" customHeight="1">
      <c r="D102" s="51">
        <v>45</v>
      </c>
      <c r="E102" s="50" t="s">
        <v>246</v>
      </c>
      <c r="F102" s="50" t="s">
        <v>181</v>
      </c>
      <c r="G102" s="51">
        <v>15</v>
      </c>
      <c r="H102" s="143">
        <f t="shared" si="13"/>
        <v>76.599999999999994</v>
      </c>
      <c r="I102" s="144">
        <v>1149</v>
      </c>
      <c r="J102" s="145">
        <v>0</v>
      </c>
      <c r="K102" s="145">
        <f t="shared" si="14"/>
        <v>1149</v>
      </c>
      <c r="L102" s="146"/>
      <c r="M102" s="147">
        <v>0</v>
      </c>
      <c r="N102" s="147">
        <f t="shared" si="15"/>
        <v>1149</v>
      </c>
      <c r="O102" s="147">
        <f t="shared" si="16"/>
        <v>244.81</v>
      </c>
      <c r="P102" s="147">
        <f t="shared" si="17"/>
        <v>904.19</v>
      </c>
      <c r="Q102" s="148">
        <f t="shared" si="18"/>
        <v>6.4000000000000001E-2</v>
      </c>
      <c r="R102" s="147">
        <f t="shared" si="19"/>
        <v>57.868160000000003</v>
      </c>
      <c r="S102" s="147">
        <f t="shared" si="20"/>
        <v>4.6500000000000004</v>
      </c>
      <c r="T102" s="147">
        <f t="shared" si="21"/>
        <v>62.518160000000002</v>
      </c>
      <c r="U102" s="147">
        <f t="shared" si="22"/>
        <v>200.7</v>
      </c>
      <c r="V102" s="147">
        <f t="shared" si="23"/>
        <v>-138.18183999999999</v>
      </c>
      <c r="W102" s="149"/>
      <c r="X102" s="145">
        <f t="shared" si="24"/>
        <v>138.18183999999999</v>
      </c>
      <c r="Y102" s="150">
        <f t="shared" si="25"/>
        <v>0</v>
      </c>
      <c r="Z102" s="151">
        <v>0</v>
      </c>
      <c r="AA102" s="145">
        <f t="shared" si="26"/>
        <v>0</v>
      </c>
      <c r="AB102" s="152">
        <f t="shared" si="27"/>
        <v>1287.18184</v>
      </c>
      <c r="AC102" s="153"/>
    </row>
    <row r="103" spans="4:32" ht="24.95" customHeight="1">
      <c r="D103" s="51">
        <v>46</v>
      </c>
      <c r="E103" s="50" t="s">
        <v>279</v>
      </c>
      <c r="F103" s="50" t="s">
        <v>182</v>
      </c>
      <c r="G103" s="51">
        <v>15</v>
      </c>
      <c r="H103" s="143">
        <f t="shared" si="13"/>
        <v>76.599999999999994</v>
      </c>
      <c r="I103" s="144">
        <v>1149</v>
      </c>
      <c r="J103" s="145">
        <v>0</v>
      </c>
      <c r="K103" s="145">
        <f t="shared" si="14"/>
        <v>1149</v>
      </c>
      <c r="L103" s="146"/>
      <c r="M103" s="147">
        <v>0</v>
      </c>
      <c r="N103" s="147">
        <f t="shared" si="15"/>
        <v>1149</v>
      </c>
      <c r="O103" s="147">
        <f t="shared" si="16"/>
        <v>244.81</v>
      </c>
      <c r="P103" s="147">
        <f t="shared" si="17"/>
        <v>904.19</v>
      </c>
      <c r="Q103" s="148">
        <f t="shared" si="18"/>
        <v>6.4000000000000001E-2</v>
      </c>
      <c r="R103" s="147">
        <f t="shared" si="19"/>
        <v>57.868160000000003</v>
      </c>
      <c r="S103" s="147">
        <f t="shared" si="20"/>
        <v>4.6500000000000004</v>
      </c>
      <c r="T103" s="147">
        <f t="shared" si="21"/>
        <v>62.518160000000002</v>
      </c>
      <c r="U103" s="147">
        <f t="shared" si="22"/>
        <v>200.7</v>
      </c>
      <c r="V103" s="147">
        <f t="shared" si="23"/>
        <v>-138.18183999999999</v>
      </c>
      <c r="W103" s="149"/>
      <c r="X103" s="145">
        <f t="shared" si="24"/>
        <v>138.18183999999999</v>
      </c>
      <c r="Y103" s="150">
        <f t="shared" si="25"/>
        <v>0</v>
      </c>
      <c r="Z103" s="151">
        <v>0</v>
      </c>
      <c r="AA103" s="145">
        <f t="shared" si="26"/>
        <v>0</v>
      </c>
      <c r="AB103" s="152">
        <f t="shared" si="27"/>
        <v>1287.18184</v>
      </c>
      <c r="AC103" s="153"/>
    </row>
    <row r="104" spans="4:32" ht="24.95" customHeight="1">
      <c r="D104" s="51">
        <v>47</v>
      </c>
      <c r="E104" s="50" t="s">
        <v>313</v>
      </c>
      <c r="F104" s="50" t="s">
        <v>247</v>
      </c>
      <c r="G104" s="51">
        <v>15</v>
      </c>
      <c r="H104" s="143">
        <f t="shared" si="13"/>
        <v>76.599999999999994</v>
      </c>
      <c r="I104" s="144">
        <v>1149</v>
      </c>
      <c r="J104" s="145">
        <v>0</v>
      </c>
      <c r="K104" s="145">
        <f t="shared" si="14"/>
        <v>1149</v>
      </c>
      <c r="L104" s="146"/>
      <c r="M104" s="147">
        <v>0</v>
      </c>
      <c r="N104" s="147">
        <f t="shared" si="15"/>
        <v>1149</v>
      </c>
      <c r="O104" s="147">
        <f t="shared" si="16"/>
        <v>244.81</v>
      </c>
      <c r="P104" s="147">
        <f t="shared" si="17"/>
        <v>904.19</v>
      </c>
      <c r="Q104" s="148">
        <f t="shared" si="18"/>
        <v>6.4000000000000001E-2</v>
      </c>
      <c r="R104" s="147">
        <f t="shared" si="19"/>
        <v>57.868160000000003</v>
      </c>
      <c r="S104" s="147">
        <f t="shared" si="20"/>
        <v>4.6500000000000004</v>
      </c>
      <c r="T104" s="147">
        <f t="shared" si="21"/>
        <v>62.518160000000002</v>
      </c>
      <c r="U104" s="147">
        <f t="shared" si="22"/>
        <v>200.7</v>
      </c>
      <c r="V104" s="147">
        <f t="shared" si="23"/>
        <v>-138.18183999999999</v>
      </c>
      <c r="W104" s="149"/>
      <c r="X104" s="145">
        <f t="shared" si="24"/>
        <v>138.18183999999999</v>
      </c>
      <c r="Y104" s="150">
        <f t="shared" si="25"/>
        <v>0</v>
      </c>
      <c r="Z104" s="151">
        <v>0</v>
      </c>
      <c r="AA104" s="145">
        <f t="shared" si="26"/>
        <v>0</v>
      </c>
      <c r="AB104" s="152">
        <f t="shared" si="27"/>
        <v>1287.18184</v>
      </c>
      <c r="AC104" s="153"/>
    </row>
    <row r="105" spans="4:32" ht="24.95" customHeight="1">
      <c r="D105" s="51">
        <v>48</v>
      </c>
      <c r="E105" s="50" t="s">
        <v>248</v>
      </c>
      <c r="F105" s="50" t="s">
        <v>249</v>
      </c>
      <c r="G105" s="51">
        <v>15</v>
      </c>
      <c r="H105" s="143">
        <f t="shared" si="13"/>
        <v>76.599999999999994</v>
      </c>
      <c r="I105" s="144">
        <v>1149</v>
      </c>
      <c r="J105" s="145">
        <v>0</v>
      </c>
      <c r="K105" s="145">
        <f t="shared" si="14"/>
        <v>1149</v>
      </c>
      <c r="L105" s="146"/>
      <c r="M105" s="147">
        <v>0</v>
      </c>
      <c r="N105" s="147">
        <f t="shared" si="15"/>
        <v>1149</v>
      </c>
      <c r="O105" s="147">
        <f t="shared" si="16"/>
        <v>244.81</v>
      </c>
      <c r="P105" s="147">
        <f t="shared" si="17"/>
        <v>904.19</v>
      </c>
      <c r="Q105" s="148">
        <f t="shared" si="18"/>
        <v>6.4000000000000001E-2</v>
      </c>
      <c r="R105" s="147">
        <f t="shared" si="19"/>
        <v>57.868160000000003</v>
      </c>
      <c r="S105" s="147">
        <f t="shared" si="20"/>
        <v>4.6500000000000004</v>
      </c>
      <c r="T105" s="147">
        <f t="shared" si="21"/>
        <v>62.518160000000002</v>
      </c>
      <c r="U105" s="147">
        <f t="shared" si="22"/>
        <v>200.7</v>
      </c>
      <c r="V105" s="147">
        <f t="shared" si="23"/>
        <v>-138.18183999999999</v>
      </c>
      <c r="W105" s="149"/>
      <c r="X105" s="145">
        <f t="shared" si="24"/>
        <v>138.18183999999999</v>
      </c>
      <c r="Y105" s="150">
        <f t="shared" si="25"/>
        <v>0</v>
      </c>
      <c r="Z105" s="151">
        <v>0</v>
      </c>
      <c r="AA105" s="145">
        <f t="shared" si="26"/>
        <v>0</v>
      </c>
      <c r="AB105" s="152">
        <f t="shared" si="27"/>
        <v>1287.18184</v>
      </c>
      <c r="AC105" s="153"/>
    </row>
    <row r="106" spans="4:32" ht="24.95" customHeight="1">
      <c r="D106" s="51">
        <v>49</v>
      </c>
      <c r="E106" s="50" t="s">
        <v>288</v>
      </c>
      <c r="F106" s="50" t="s">
        <v>250</v>
      </c>
      <c r="G106" s="51">
        <v>15</v>
      </c>
      <c r="H106" s="143">
        <f t="shared" si="13"/>
        <v>76.599999999999994</v>
      </c>
      <c r="I106" s="144">
        <v>1149</v>
      </c>
      <c r="J106" s="145">
        <v>0</v>
      </c>
      <c r="K106" s="145">
        <f t="shared" si="14"/>
        <v>1149</v>
      </c>
      <c r="L106" s="146"/>
      <c r="M106" s="147">
        <v>0</v>
      </c>
      <c r="N106" s="147">
        <f t="shared" si="15"/>
        <v>1149</v>
      </c>
      <c r="O106" s="147">
        <f t="shared" si="16"/>
        <v>244.81</v>
      </c>
      <c r="P106" s="147">
        <f t="shared" si="17"/>
        <v>904.19</v>
      </c>
      <c r="Q106" s="148">
        <f t="shared" si="18"/>
        <v>6.4000000000000001E-2</v>
      </c>
      <c r="R106" s="147">
        <f t="shared" si="19"/>
        <v>57.868160000000003</v>
      </c>
      <c r="S106" s="147">
        <f t="shared" si="20"/>
        <v>4.6500000000000004</v>
      </c>
      <c r="T106" s="147">
        <f t="shared" si="21"/>
        <v>62.518160000000002</v>
      </c>
      <c r="U106" s="147">
        <f t="shared" si="22"/>
        <v>200.7</v>
      </c>
      <c r="V106" s="147">
        <f t="shared" si="23"/>
        <v>-138.18183999999999</v>
      </c>
      <c r="W106" s="149"/>
      <c r="X106" s="145">
        <f t="shared" si="24"/>
        <v>138.18183999999999</v>
      </c>
      <c r="Y106" s="150">
        <f t="shared" si="25"/>
        <v>0</v>
      </c>
      <c r="Z106" s="151">
        <v>0</v>
      </c>
      <c r="AA106" s="145">
        <f t="shared" si="26"/>
        <v>0</v>
      </c>
      <c r="AB106" s="152">
        <f t="shared" si="27"/>
        <v>1287.18184</v>
      </c>
      <c r="AC106" s="153"/>
    </row>
    <row r="107" spans="4:32" ht="24.95" customHeight="1">
      <c r="D107" s="51"/>
      <c r="E107" s="67" t="s">
        <v>117</v>
      </c>
      <c r="F107" s="50"/>
      <c r="G107" s="51"/>
      <c r="H107" s="143"/>
      <c r="I107" s="144"/>
      <c r="J107" s="145"/>
      <c r="K107" s="145"/>
      <c r="L107" s="146"/>
      <c r="M107" s="147"/>
      <c r="N107" s="147"/>
      <c r="O107" s="147"/>
      <c r="P107" s="147"/>
      <c r="Q107" s="148"/>
      <c r="R107" s="147"/>
      <c r="S107" s="147"/>
      <c r="T107" s="147"/>
      <c r="U107" s="147"/>
      <c r="V107" s="147"/>
      <c r="W107" s="149"/>
      <c r="X107" s="145"/>
      <c r="Y107" s="150"/>
      <c r="Z107" s="151"/>
      <c r="AA107" s="145"/>
      <c r="AB107" s="152"/>
      <c r="AC107" s="153"/>
    </row>
    <row r="108" spans="4:32" ht="24.95" customHeight="1">
      <c r="D108" s="51">
        <v>50</v>
      </c>
      <c r="E108" s="50" t="s">
        <v>171</v>
      </c>
      <c r="F108" s="50" t="s">
        <v>118</v>
      </c>
      <c r="G108" s="51">
        <v>15</v>
      </c>
      <c r="H108" s="143">
        <f t="shared" si="13"/>
        <v>185.66666666666666</v>
      </c>
      <c r="I108" s="144">
        <v>2785</v>
      </c>
      <c r="J108" s="145">
        <v>0</v>
      </c>
      <c r="K108" s="145">
        <f>TRUNC(SUM(G108*H108)+J108,2)</f>
        <v>2785</v>
      </c>
      <c r="L108" s="146"/>
      <c r="M108" s="147">
        <v>0</v>
      </c>
      <c r="N108" s="147">
        <f>K108+M108</f>
        <v>2785</v>
      </c>
      <c r="O108" s="147">
        <f>VLOOKUP(N108,Tarifa1,1)</f>
        <v>2077.5100000000002</v>
      </c>
      <c r="P108" s="147">
        <f>N108-O108</f>
        <v>707.48999999999978</v>
      </c>
      <c r="Q108" s="148">
        <f>VLOOKUP(N108,Tarifa1,3)</f>
        <v>0.10879999999999999</v>
      </c>
      <c r="R108" s="147">
        <f>P108*Q108</f>
        <v>76.974911999999975</v>
      </c>
      <c r="S108" s="147">
        <f>VLOOKUP(N108,Tarifa1,2)</f>
        <v>121.95</v>
      </c>
      <c r="T108" s="147">
        <f>R108+S108</f>
        <v>198.92491199999998</v>
      </c>
      <c r="U108" s="147">
        <f>VLOOKUP(N108,Credito1,2)</f>
        <v>145.35</v>
      </c>
      <c r="V108" s="147">
        <f>T108-U108</f>
        <v>53.574911999999983</v>
      </c>
      <c r="W108" s="149"/>
      <c r="X108" s="145">
        <f>-IF(V108&gt;0,0,V108)</f>
        <v>0</v>
      </c>
      <c r="Y108" s="150">
        <f>IF(V108&lt;0,0,V108)</f>
        <v>53.574911999999983</v>
      </c>
      <c r="Z108" s="151">
        <v>0</v>
      </c>
      <c r="AA108" s="145">
        <f>SUM(Y108:Z108)</f>
        <v>53.574911999999983</v>
      </c>
      <c r="AB108" s="152">
        <f>K108+X108-AA108</f>
        <v>2731.425088</v>
      </c>
      <c r="AC108" s="153"/>
      <c r="AF108" s="181"/>
    </row>
    <row r="109" spans="4:32" ht="24.95" customHeight="1">
      <c r="D109" s="51">
        <v>51</v>
      </c>
      <c r="E109" s="50" t="s">
        <v>119</v>
      </c>
      <c r="F109" s="50" t="s">
        <v>120</v>
      </c>
      <c r="G109" s="51">
        <v>15</v>
      </c>
      <c r="H109" s="143">
        <f t="shared" si="13"/>
        <v>228.93333333333334</v>
      </c>
      <c r="I109" s="144">
        <v>3434</v>
      </c>
      <c r="J109" s="145">
        <v>0</v>
      </c>
      <c r="K109" s="145">
        <f>TRUNC(SUM(G109*H109)+J109,2)</f>
        <v>3434</v>
      </c>
      <c r="L109" s="146"/>
      <c r="M109" s="147">
        <v>0</v>
      </c>
      <c r="N109" s="147">
        <f>K109+M109</f>
        <v>3434</v>
      </c>
      <c r="O109" s="147">
        <f>VLOOKUP(N109,Tarifa1,1)</f>
        <v>2077.5100000000002</v>
      </c>
      <c r="P109" s="147">
        <f>N109-O109</f>
        <v>1356.4899999999998</v>
      </c>
      <c r="Q109" s="148">
        <f>VLOOKUP(N109,Tarifa1,3)</f>
        <v>0.10879999999999999</v>
      </c>
      <c r="R109" s="147">
        <f>P109*Q109</f>
        <v>147.58611199999996</v>
      </c>
      <c r="S109" s="147">
        <f>VLOOKUP(N109,Tarifa1,2)</f>
        <v>121.95</v>
      </c>
      <c r="T109" s="147">
        <f>R109+S109</f>
        <v>269.53611199999995</v>
      </c>
      <c r="U109" s="147">
        <f>VLOOKUP(N109,Credito1,2)</f>
        <v>125.1</v>
      </c>
      <c r="V109" s="147">
        <f>T109-U109</f>
        <v>144.43611199999995</v>
      </c>
      <c r="W109" s="149"/>
      <c r="X109" s="145">
        <f>-IF(V109&gt;0,0,V109)</f>
        <v>0</v>
      </c>
      <c r="Y109" s="150">
        <f>IF(V109&lt;0,0,V109)</f>
        <v>144.43611199999995</v>
      </c>
      <c r="Z109" s="151">
        <v>0</v>
      </c>
      <c r="AA109" s="145">
        <f>SUM(Y109:Z109)</f>
        <v>144.43611199999995</v>
      </c>
      <c r="AB109" s="152">
        <f>K109+X109-AA109</f>
        <v>3289.5638880000001</v>
      </c>
      <c r="AC109" s="153"/>
      <c r="AF109" s="181"/>
    </row>
    <row r="110" spans="4:32" ht="24.95" customHeight="1">
      <c r="D110" s="51">
        <v>52</v>
      </c>
      <c r="E110" s="50" t="s">
        <v>121</v>
      </c>
      <c r="F110" s="50" t="s">
        <v>122</v>
      </c>
      <c r="G110" s="51">
        <v>15</v>
      </c>
      <c r="H110" s="143">
        <f t="shared" si="13"/>
        <v>185.66666666666666</v>
      </c>
      <c r="I110" s="144">
        <v>2785</v>
      </c>
      <c r="J110" s="145">
        <v>0</v>
      </c>
      <c r="K110" s="145">
        <f>TRUNC(SUM(G110*H110)+J110,2)</f>
        <v>2785</v>
      </c>
      <c r="L110" s="146"/>
      <c r="M110" s="147">
        <v>0</v>
      </c>
      <c r="N110" s="147">
        <f>K110+M110</f>
        <v>2785</v>
      </c>
      <c r="O110" s="147">
        <f>VLOOKUP(N110,Tarifa1,1)</f>
        <v>2077.5100000000002</v>
      </c>
      <c r="P110" s="147">
        <f>N110-O110</f>
        <v>707.48999999999978</v>
      </c>
      <c r="Q110" s="148">
        <f>VLOOKUP(N110,Tarifa1,3)</f>
        <v>0.10879999999999999</v>
      </c>
      <c r="R110" s="147">
        <f>P110*Q110</f>
        <v>76.974911999999975</v>
      </c>
      <c r="S110" s="147">
        <f>VLOOKUP(N110,Tarifa1,2)</f>
        <v>121.95</v>
      </c>
      <c r="T110" s="147">
        <f>R110+S110</f>
        <v>198.92491199999998</v>
      </c>
      <c r="U110" s="147">
        <f>VLOOKUP(N110,Credito1,2)</f>
        <v>145.35</v>
      </c>
      <c r="V110" s="147">
        <f>T110-U110</f>
        <v>53.574911999999983</v>
      </c>
      <c r="W110" s="149"/>
      <c r="X110" s="145">
        <f>-IF(V110&gt;0,0,V110)</f>
        <v>0</v>
      </c>
      <c r="Y110" s="150">
        <f>IF(V110&lt;0,0,V110)</f>
        <v>53.574911999999983</v>
      </c>
      <c r="Z110" s="151">
        <v>0</v>
      </c>
      <c r="AA110" s="145">
        <f>SUM(Y110:Z110)</f>
        <v>53.574911999999983</v>
      </c>
      <c r="AB110" s="152">
        <f>K110+X110-AA110</f>
        <v>2731.425088</v>
      </c>
      <c r="AC110" s="153"/>
      <c r="AF110" s="181"/>
    </row>
    <row r="111" spans="4:32">
      <c r="D111" s="172"/>
      <c r="E111" s="172"/>
      <c r="F111" s="172"/>
      <c r="G111" s="173"/>
      <c r="H111" s="172"/>
      <c r="I111" s="174"/>
      <c r="J111" s="174"/>
      <c r="K111" s="174"/>
      <c r="L111" s="175"/>
      <c r="M111" s="176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</row>
    <row r="112" spans="4:32" ht="15.75" thickBot="1">
      <c r="D112" s="323" t="s">
        <v>44</v>
      </c>
      <c r="E112" s="324"/>
      <c r="F112" s="324"/>
      <c r="G112" s="324"/>
      <c r="H112" s="325"/>
      <c r="I112" s="178">
        <f>SUM(I11:I111)</f>
        <v>169507.48</v>
      </c>
      <c r="J112" s="178">
        <f>SUM(J11:J111)</f>
        <v>0</v>
      </c>
      <c r="K112" s="178">
        <f>SUM(K11:K111)</f>
        <v>169507.48</v>
      </c>
      <c r="L112" s="179"/>
      <c r="M112" s="180">
        <f t="shared" ref="M112:V112" si="28">SUM(M11:M111)</f>
        <v>0</v>
      </c>
      <c r="N112" s="180">
        <f t="shared" si="28"/>
        <v>166263.48000000001</v>
      </c>
      <c r="O112" s="180" t="e">
        <f t="shared" si="28"/>
        <v>#N/A</v>
      </c>
      <c r="P112" s="180" t="e">
        <f t="shared" si="28"/>
        <v>#N/A</v>
      </c>
      <c r="Q112" s="180" t="e">
        <f t="shared" si="28"/>
        <v>#N/A</v>
      </c>
      <c r="R112" s="180" t="e">
        <f t="shared" si="28"/>
        <v>#N/A</v>
      </c>
      <c r="S112" s="180" t="e">
        <f t="shared" si="28"/>
        <v>#N/A</v>
      </c>
      <c r="T112" s="180" t="e">
        <f t="shared" si="28"/>
        <v>#N/A</v>
      </c>
      <c r="U112" s="180" t="e">
        <f t="shared" si="28"/>
        <v>#N/A</v>
      </c>
      <c r="V112" s="180" t="e">
        <f t="shared" si="28"/>
        <v>#N/A</v>
      </c>
      <c r="W112" s="179"/>
      <c r="X112" s="178">
        <f>SUM(X11:X111)</f>
        <v>1815.3636959999997</v>
      </c>
      <c r="Y112" s="178">
        <f>SUM(Y11:Y111)</f>
        <v>12310.278768</v>
      </c>
      <c r="Z112" s="178">
        <f>SUM(Z11:Z111)</f>
        <v>0</v>
      </c>
      <c r="AA112" s="178">
        <f>SUM(AA11:AA111)</f>
        <v>12310.278768</v>
      </c>
      <c r="AB112" s="178">
        <f>SUM(AB11:AB111)</f>
        <v>159012.56492800009</v>
      </c>
    </row>
    <row r="113" spans="5:29" ht="13.5" thickTop="1"/>
    <row r="115" spans="5:29">
      <c r="E115" s="120" t="s">
        <v>252</v>
      </c>
    </row>
    <row r="116" spans="5:29">
      <c r="E116" s="182" t="s">
        <v>237</v>
      </c>
      <c r="Z116" s="120" t="s">
        <v>254</v>
      </c>
    </row>
    <row r="117" spans="5:29">
      <c r="E117" s="183" t="s">
        <v>67</v>
      </c>
      <c r="F117" s="183"/>
      <c r="Z117" s="182" t="s">
        <v>238</v>
      </c>
    </row>
    <row r="118" spans="5:29">
      <c r="Z118" s="183" t="s">
        <v>239</v>
      </c>
    </row>
    <row r="120" spans="5:29">
      <c r="AB120" s="181"/>
    </row>
    <row r="121" spans="5:29">
      <c r="AB121" s="181"/>
    </row>
    <row r="122" spans="5:29">
      <c r="E122" s="189"/>
      <c r="I122" s="182"/>
      <c r="AB122" s="181"/>
      <c r="AC122" s="182"/>
    </row>
    <row r="123" spans="5:29">
      <c r="E123" s="190"/>
      <c r="F123" s="183"/>
      <c r="G123" s="183"/>
      <c r="H123" s="183"/>
      <c r="I123" s="183"/>
      <c r="J123" s="183"/>
      <c r="K123" s="183"/>
      <c r="L123" s="183"/>
      <c r="M123" s="183"/>
      <c r="N123" s="183"/>
      <c r="O123" s="183"/>
      <c r="P123" s="183"/>
      <c r="Q123" s="183"/>
      <c r="R123" s="183"/>
      <c r="S123" s="183"/>
      <c r="T123" s="183"/>
      <c r="U123" s="183"/>
      <c r="V123" s="183"/>
      <c r="W123" s="183"/>
      <c r="X123" s="183"/>
      <c r="Y123" s="183"/>
      <c r="Z123" s="183"/>
      <c r="AA123" s="183"/>
      <c r="AB123" s="184"/>
      <c r="AC123" s="183"/>
    </row>
    <row r="127" spans="5:29">
      <c r="X127" s="181"/>
    </row>
    <row r="128" spans="5:29">
      <c r="X128" s="181"/>
    </row>
    <row r="129" spans="5:29">
      <c r="X129" s="181"/>
    </row>
    <row r="130" spans="5:29">
      <c r="E130" s="182"/>
      <c r="I130" s="182"/>
      <c r="X130" s="181"/>
      <c r="AC130" s="182"/>
    </row>
    <row r="131" spans="5:29">
      <c r="E131" s="183"/>
      <c r="F131" s="183"/>
      <c r="G131" s="183"/>
      <c r="H131" s="183"/>
      <c r="I131" s="183"/>
      <c r="J131" s="183"/>
      <c r="K131" s="183"/>
      <c r="L131" s="183"/>
      <c r="M131" s="183"/>
      <c r="N131" s="183"/>
      <c r="O131" s="183"/>
      <c r="P131" s="183"/>
      <c r="Q131" s="183"/>
      <c r="R131" s="183"/>
      <c r="S131" s="183"/>
      <c r="T131" s="183"/>
      <c r="U131" s="183"/>
      <c r="V131" s="183"/>
      <c r="W131" s="183"/>
      <c r="X131" s="183"/>
      <c r="Y131" s="183"/>
      <c r="Z131" s="183"/>
      <c r="AA131" s="183"/>
      <c r="AB131" s="183"/>
      <c r="AC131" s="183"/>
    </row>
    <row r="146" spans="5:29">
      <c r="E146" s="182"/>
      <c r="I146" s="182"/>
      <c r="AC146" s="182"/>
    </row>
    <row r="147" spans="5:29">
      <c r="E147" s="183"/>
      <c r="F147" s="183"/>
      <c r="G147" s="183"/>
      <c r="H147" s="183"/>
      <c r="I147" s="183"/>
      <c r="J147" s="183"/>
      <c r="K147" s="183"/>
      <c r="L147" s="183"/>
      <c r="M147" s="183"/>
      <c r="N147" s="183"/>
      <c r="O147" s="183"/>
      <c r="P147" s="183"/>
      <c r="Q147" s="183"/>
      <c r="R147" s="183"/>
      <c r="S147" s="183"/>
      <c r="T147" s="183"/>
      <c r="U147" s="183"/>
      <c r="V147" s="183"/>
      <c r="W147" s="183"/>
      <c r="X147" s="183"/>
      <c r="Y147" s="183"/>
      <c r="Z147" s="183"/>
      <c r="AA147" s="183"/>
      <c r="AB147" s="183"/>
      <c r="AC147" s="183"/>
    </row>
  </sheetData>
  <sheetProtection selectLockedCells="1" selectUnlockedCells="1"/>
  <mergeCells count="26">
    <mergeCell ref="D38:AC38"/>
    <mergeCell ref="Y7:Y8"/>
    <mergeCell ref="D3:AC3"/>
    <mergeCell ref="D4:AC4"/>
    <mergeCell ref="D5:AC5"/>
    <mergeCell ref="I6:K6"/>
    <mergeCell ref="O6:T6"/>
    <mergeCell ref="Y6:AA6"/>
    <mergeCell ref="Y41:AA41"/>
    <mergeCell ref="D40:AC40"/>
    <mergeCell ref="D73:AC73"/>
    <mergeCell ref="D72:AC72"/>
    <mergeCell ref="D71:AC71"/>
    <mergeCell ref="I74:K74"/>
    <mergeCell ref="O74:T74"/>
    <mergeCell ref="Y74:AA74"/>
    <mergeCell ref="D39:AC39"/>
    <mergeCell ref="D112:H112"/>
    <mergeCell ref="D94:AC94"/>
    <mergeCell ref="D93:AC93"/>
    <mergeCell ref="Y96:AA96"/>
    <mergeCell ref="O96:T96"/>
    <mergeCell ref="I96:K96"/>
    <mergeCell ref="D95:AC95"/>
    <mergeCell ref="I41:K41"/>
    <mergeCell ref="O41:T41"/>
  </mergeCells>
  <phoneticPr fontId="0" type="noConversion"/>
  <pageMargins left="0.47244094488188981" right="0.15748031496062992" top="0.39370078740157483" bottom="0.19685039370078741" header="0.11811023622047245" footer="0.23622047244094491"/>
  <pageSetup paperSize="5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2:IU96"/>
  <sheetViews>
    <sheetView topLeftCell="A48" zoomScale="90" zoomScaleNormal="90" workbookViewId="0">
      <selection activeCell="I57" sqref="I57"/>
    </sheetView>
  </sheetViews>
  <sheetFormatPr baseColWidth="10" defaultRowHeight="12.75"/>
  <cols>
    <col min="1" max="1" width="11.42578125" style="4"/>
    <col min="2" max="2" width="6.42578125" style="4" customWidth="1"/>
    <col min="3" max="3" width="5.140625" style="4" hidden="1" customWidth="1"/>
    <col min="4" max="4" width="4.5703125" style="4" customWidth="1"/>
    <col min="5" max="5" width="43.28515625" style="4" customWidth="1"/>
    <col min="6" max="6" width="32.28515625" style="4" customWidth="1"/>
    <col min="7" max="7" width="5.85546875" style="4" hidden="1" customWidth="1"/>
    <col min="8" max="8" width="7" style="4" hidden="1" customWidth="1"/>
    <col min="9" max="9" width="10.7109375" style="4" bestFit="1" customWidth="1"/>
    <col min="10" max="10" width="7.5703125" style="4" customWidth="1"/>
    <col min="11" max="11" width="10.7109375" style="4" bestFit="1" customWidth="1"/>
    <col min="12" max="12" width="8.7109375" style="4" hidden="1" customWidth="1"/>
    <col min="13" max="13" width="13.140625" style="4" hidden="1" customWidth="1"/>
    <col min="14" max="16" width="11" style="4" hidden="1" customWidth="1"/>
    <col min="17" max="18" width="13.140625" style="4" hidden="1" customWidth="1"/>
    <col min="19" max="19" width="10.5703125" style="4" hidden="1" customWidth="1"/>
    <col min="20" max="20" width="10.42578125" style="4" hidden="1" customWidth="1"/>
    <col min="21" max="21" width="13.140625" style="4" hidden="1" customWidth="1"/>
    <col min="22" max="22" width="11.5703125" style="4" hidden="1" customWidth="1"/>
    <col min="23" max="23" width="7.7109375" style="4" hidden="1" customWidth="1"/>
    <col min="24" max="24" width="10.42578125" style="4" customWidth="1"/>
    <col min="25" max="25" width="11.85546875" style="4" customWidth="1"/>
    <col min="26" max="26" width="8.7109375" style="4" bestFit="1" customWidth="1"/>
    <col min="27" max="27" width="9.5703125" style="4" bestFit="1" customWidth="1"/>
    <col min="28" max="28" width="10.7109375" style="4" bestFit="1" customWidth="1"/>
    <col min="29" max="29" width="62.28515625" style="4" customWidth="1"/>
    <col min="30" max="16384" width="11.42578125" style="4"/>
  </cols>
  <sheetData>
    <row r="2" spans="4:32"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3" spans="4:32" ht="18" customHeight="1">
      <c r="D3" s="346" t="s">
        <v>68</v>
      </c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346"/>
      <c r="AA3" s="346"/>
      <c r="AB3" s="346"/>
      <c r="AC3" s="346"/>
    </row>
    <row r="4" spans="4:32" ht="18" customHeight="1">
      <c r="D4" s="347" t="str">
        <f>PERMANENTES!D4</f>
        <v>SUELDOS 16 AL 30 DE NOVIEMBRE DE 2016</v>
      </c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</row>
    <row r="5" spans="4:32" ht="18" customHeight="1">
      <c r="D5" s="347" t="s">
        <v>71</v>
      </c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</row>
    <row r="6" spans="4:32" ht="14.1" customHeight="1">
      <c r="D6" s="25"/>
      <c r="E6" s="25"/>
      <c r="F6" s="25"/>
      <c r="G6" s="110" t="s">
        <v>22</v>
      </c>
      <c r="H6" s="110" t="s">
        <v>6</v>
      </c>
      <c r="I6" s="335" t="s">
        <v>1</v>
      </c>
      <c r="J6" s="336"/>
      <c r="K6" s="337"/>
      <c r="L6" s="109"/>
      <c r="M6" s="110" t="s">
        <v>25</v>
      </c>
      <c r="N6" s="115"/>
      <c r="O6" s="335" t="s">
        <v>9</v>
      </c>
      <c r="P6" s="336"/>
      <c r="Q6" s="336"/>
      <c r="R6" s="336"/>
      <c r="S6" s="336"/>
      <c r="T6" s="337"/>
      <c r="U6" s="110" t="s">
        <v>29</v>
      </c>
      <c r="V6" s="110" t="s">
        <v>10</v>
      </c>
      <c r="W6" s="109"/>
      <c r="X6" s="110" t="s">
        <v>53</v>
      </c>
      <c r="Y6" s="335" t="s">
        <v>2</v>
      </c>
      <c r="Z6" s="336"/>
      <c r="AA6" s="337"/>
      <c r="AB6" s="110" t="s">
        <v>0</v>
      </c>
      <c r="AC6" s="47"/>
    </row>
    <row r="7" spans="4:32" ht="14.1" customHeight="1">
      <c r="D7" s="31" t="s">
        <v>21</v>
      </c>
      <c r="E7" s="31"/>
      <c r="F7" s="31"/>
      <c r="G7" s="119" t="s">
        <v>23</v>
      </c>
      <c r="H7" s="108" t="s">
        <v>24</v>
      </c>
      <c r="I7" s="110" t="s">
        <v>6</v>
      </c>
      <c r="J7" s="110" t="s">
        <v>61</v>
      </c>
      <c r="K7" s="110" t="s">
        <v>27</v>
      </c>
      <c r="L7" s="109"/>
      <c r="M7" s="108" t="s">
        <v>26</v>
      </c>
      <c r="N7" s="115" t="s">
        <v>31</v>
      </c>
      <c r="O7" s="115" t="s">
        <v>12</v>
      </c>
      <c r="P7" s="115" t="s">
        <v>33</v>
      </c>
      <c r="Q7" s="115" t="s">
        <v>35</v>
      </c>
      <c r="R7" s="115" t="s">
        <v>36</v>
      </c>
      <c r="S7" s="115" t="s">
        <v>14</v>
      </c>
      <c r="T7" s="115" t="s">
        <v>10</v>
      </c>
      <c r="U7" s="108" t="s">
        <v>39</v>
      </c>
      <c r="V7" s="108" t="s">
        <v>40</v>
      </c>
      <c r="W7" s="109"/>
      <c r="X7" s="108" t="s">
        <v>30</v>
      </c>
      <c r="Y7" s="344" t="s">
        <v>240</v>
      </c>
      <c r="Z7" s="110" t="s">
        <v>57</v>
      </c>
      <c r="AA7" s="110" t="s">
        <v>7</v>
      </c>
      <c r="AB7" s="108" t="s">
        <v>4</v>
      </c>
      <c r="AC7" s="48" t="s">
        <v>60</v>
      </c>
    </row>
    <row r="8" spans="4:32" ht="14.1" customHeight="1">
      <c r="D8" s="34"/>
      <c r="E8" s="107"/>
      <c r="F8" s="107" t="s">
        <v>65</v>
      </c>
      <c r="G8" s="108"/>
      <c r="H8" s="108"/>
      <c r="I8" s="108" t="s">
        <v>46</v>
      </c>
      <c r="J8" s="108" t="s">
        <v>62</v>
      </c>
      <c r="K8" s="108" t="s">
        <v>28</v>
      </c>
      <c r="L8" s="109"/>
      <c r="M8" s="108" t="s">
        <v>42</v>
      </c>
      <c r="N8" s="110" t="s">
        <v>32</v>
      </c>
      <c r="O8" s="110" t="s">
        <v>13</v>
      </c>
      <c r="P8" s="110" t="s">
        <v>34</v>
      </c>
      <c r="Q8" s="110" t="s">
        <v>34</v>
      </c>
      <c r="R8" s="110" t="s">
        <v>37</v>
      </c>
      <c r="S8" s="110" t="s">
        <v>15</v>
      </c>
      <c r="T8" s="110" t="s">
        <v>38</v>
      </c>
      <c r="U8" s="108" t="s">
        <v>19</v>
      </c>
      <c r="V8" s="111" t="s">
        <v>235</v>
      </c>
      <c r="W8" s="112"/>
      <c r="X8" s="108" t="s">
        <v>52</v>
      </c>
      <c r="Y8" s="345"/>
      <c r="Z8" s="108"/>
      <c r="AA8" s="108" t="s">
        <v>43</v>
      </c>
      <c r="AB8" s="108" t="s">
        <v>5</v>
      </c>
      <c r="AC8" s="113"/>
    </row>
    <row r="9" spans="4:32" ht="19.5" customHeight="1">
      <c r="D9" s="31"/>
      <c r="E9" s="107" t="s">
        <v>153</v>
      </c>
      <c r="F9" s="107" t="s">
        <v>64</v>
      </c>
      <c r="G9" s="110"/>
      <c r="H9" s="110"/>
      <c r="I9" s="110"/>
      <c r="J9" s="110"/>
      <c r="K9" s="110"/>
      <c r="L9" s="290"/>
      <c r="M9" s="110"/>
      <c r="N9" s="110"/>
      <c r="O9" s="110"/>
      <c r="P9" s="110"/>
      <c r="Q9" s="110"/>
      <c r="R9" s="110"/>
      <c r="S9" s="110"/>
      <c r="T9" s="110"/>
      <c r="U9" s="110"/>
      <c r="V9" s="290"/>
      <c r="W9" s="290"/>
      <c r="X9" s="110"/>
      <c r="Y9" s="110"/>
      <c r="Z9" s="110"/>
      <c r="AA9" s="110"/>
      <c r="AB9" s="110"/>
      <c r="AC9" s="291"/>
    </row>
    <row r="10" spans="4:32" s="68" customFormat="1" ht="30" customHeight="1">
      <c r="D10" s="292"/>
      <c r="E10" s="293" t="s">
        <v>79</v>
      </c>
      <c r="F10" s="293"/>
      <c r="G10" s="294"/>
      <c r="H10" s="294"/>
      <c r="I10" s="294"/>
      <c r="J10" s="294"/>
      <c r="K10" s="294"/>
      <c r="L10" s="295"/>
      <c r="M10" s="294"/>
      <c r="N10" s="294"/>
      <c r="O10" s="294"/>
      <c r="P10" s="294"/>
      <c r="Q10" s="294"/>
      <c r="R10" s="294"/>
      <c r="S10" s="294"/>
      <c r="T10" s="294"/>
      <c r="U10" s="294"/>
      <c r="V10" s="295"/>
      <c r="W10" s="295"/>
      <c r="X10" s="294"/>
      <c r="Y10" s="294"/>
      <c r="Z10" s="294"/>
      <c r="AA10" s="294"/>
      <c r="AB10" s="294"/>
      <c r="AC10" s="296"/>
    </row>
    <row r="11" spans="4:32" ht="12.75" customHeight="1">
      <c r="D11" s="297"/>
      <c r="E11" s="251"/>
      <c r="F11" s="50"/>
      <c r="G11" s="51"/>
      <c r="H11" s="143"/>
      <c r="I11" s="53"/>
      <c r="J11" s="54"/>
      <c r="K11" s="55"/>
      <c r="L11" s="56"/>
      <c r="M11" s="57"/>
      <c r="N11" s="57"/>
      <c r="O11" s="57"/>
      <c r="P11" s="57"/>
      <c r="Q11" s="58"/>
      <c r="R11" s="57"/>
      <c r="S11" s="57"/>
      <c r="T11" s="57"/>
      <c r="U11" s="57"/>
      <c r="V11" s="57"/>
      <c r="W11" s="59"/>
      <c r="X11" s="55"/>
      <c r="Y11" s="60"/>
      <c r="Z11" s="61"/>
      <c r="AA11" s="55"/>
      <c r="AB11" s="62"/>
      <c r="AC11" s="298"/>
      <c r="AF11" s="74"/>
    </row>
    <row r="12" spans="4:32" ht="30" customHeight="1">
      <c r="D12" s="297">
        <v>1</v>
      </c>
      <c r="E12" s="50" t="s">
        <v>196</v>
      </c>
      <c r="F12" s="50" t="s">
        <v>165</v>
      </c>
      <c r="G12" s="51">
        <v>15</v>
      </c>
      <c r="H12" s="143">
        <f>I12/15</f>
        <v>109.6</v>
      </c>
      <c r="I12" s="144">
        <v>1644</v>
      </c>
      <c r="J12" s="145">
        <v>0</v>
      </c>
      <c r="K12" s="145">
        <f>TRUNC(SUM(G12*H12)+J12,2)</f>
        <v>1644</v>
      </c>
      <c r="L12" s="146"/>
      <c r="M12" s="147">
        <v>0</v>
      </c>
      <c r="N12" s="147">
        <f>K12+M12</f>
        <v>1644</v>
      </c>
      <c r="O12" s="147">
        <f>IF(K12=0,0,VLOOKUP(N12,Tarifa1,1))</f>
        <v>244.81</v>
      </c>
      <c r="P12" s="147">
        <f>N12-O12</f>
        <v>1399.19</v>
      </c>
      <c r="Q12" s="148">
        <f>VLOOKUP(N12,Tarifa1,3)</f>
        <v>6.4000000000000001E-2</v>
      </c>
      <c r="R12" s="147">
        <f>P12*Q12</f>
        <v>89.54816000000001</v>
      </c>
      <c r="S12" s="147">
        <f>VLOOKUP(N12,Tarifa1,2)</f>
        <v>4.6500000000000004</v>
      </c>
      <c r="T12" s="147">
        <f>R12+S12</f>
        <v>94.198160000000016</v>
      </c>
      <c r="U12" s="147">
        <f>VLOOKUP(N12,Credito1,2)</f>
        <v>200.7</v>
      </c>
      <c r="V12" s="147">
        <f>T12-U12</f>
        <v>-106.50183999999997</v>
      </c>
      <c r="W12" s="149"/>
      <c r="X12" s="145">
        <f>-IF(V12&gt;0,0,V12)</f>
        <v>106.50183999999997</v>
      </c>
      <c r="Y12" s="150">
        <f>IF(V12&lt;0,0,V12)</f>
        <v>0</v>
      </c>
      <c r="Z12" s="151">
        <v>0</v>
      </c>
      <c r="AA12" s="145">
        <f>SUM(Y12:Z12)</f>
        <v>0</v>
      </c>
      <c r="AB12" s="152">
        <f>K12+X12-AA12</f>
        <v>1750.5018399999999</v>
      </c>
      <c r="AC12" s="298"/>
      <c r="AF12" s="74"/>
    </row>
    <row r="13" spans="4:32" ht="30" customHeight="1">
      <c r="D13" s="297"/>
      <c r="E13" s="252" t="s">
        <v>229</v>
      </c>
      <c r="F13" s="50"/>
      <c r="G13" s="51"/>
      <c r="H13" s="52"/>
      <c r="I13" s="53"/>
      <c r="J13" s="54"/>
      <c r="K13" s="55"/>
      <c r="L13" s="56"/>
      <c r="M13" s="57"/>
      <c r="N13" s="57"/>
      <c r="O13" s="57"/>
      <c r="P13" s="57"/>
      <c r="Q13" s="58"/>
      <c r="R13" s="57"/>
      <c r="S13" s="57"/>
      <c r="T13" s="57"/>
      <c r="U13" s="57"/>
      <c r="V13" s="57"/>
      <c r="W13" s="59"/>
      <c r="X13" s="55"/>
      <c r="Y13" s="60"/>
      <c r="Z13" s="61"/>
      <c r="AA13" s="55"/>
      <c r="AB13" s="62"/>
      <c r="AC13" s="298"/>
    </row>
    <row r="14" spans="4:32" ht="30" customHeight="1">
      <c r="D14" s="297">
        <v>2</v>
      </c>
      <c r="E14" s="251" t="s">
        <v>230</v>
      </c>
      <c r="F14" s="50" t="s">
        <v>306</v>
      </c>
      <c r="G14" s="51">
        <v>15</v>
      </c>
      <c r="H14" s="143">
        <f>I14/15</f>
        <v>466.66666666666669</v>
      </c>
      <c r="I14" s="53">
        <v>7000</v>
      </c>
      <c r="J14" s="54">
        <v>0</v>
      </c>
      <c r="K14" s="55">
        <f>TRUNC(SUM(G14*H14)+J14,2)</f>
        <v>7000</v>
      </c>
      <c r="L14" s="56"/>
      <c r="M14" s="57">
        <v>0</v>
      </c>
      <c r="N14" s="57">
        <f>K14+M14</f>
        <v>7000</v>
      </c>
      <c r="O14" s="57">
        <f>VLOOKUP(N14,Tarifa1,1)</f>
        <v>5081.41</v>
      </c>
      <c r="P14" s="57">
        <f>N14-O14</f>
        <v>1918.5900000000001</v>
      </c>
      <c r="Q14" s="58">
        <f>VLOOKUP(N14,Tarifa1,3)</f>
        <v>0.21360000000000001</v>
      </c>
      <c r="R14" s="57">
        <f>P14*Q14</f>
        <v>409.81082400000008</v>
      </c>
      <c r="S14" s="57">
        <f>VLOOKUP(N14,Tarifa1,2)</f>
        <v>538.20000000000005</v>
      </c>
      <c r="T14" s="57">
        <f>R14+S14</f>
        <v>948.01082400000018</v>
      </c>
      <c r="U14" s="57">
        <f>VLOOKUP(N14,Credito1,2)</f>
        <v>0</v>
      </c>
      <c r="V14" s="57">
        <f>T14-U14</f>
        <v>948.01082400000018</v>
      </c>
      <c r="W14" s="59"/>
      <c r="X14" s="55">
        <f>-IF(V14&gt;0,0,V14)</f>
        <v>0</v>
      </c>
      <c r="Y14" s="60">
        <f>IF(V14&lt;0,0,V14)</f>
        <v>948.01082400000018</v>
      </c>
      <c r="Z14" s="61">
        <v>0</v>
      </c>
      <c r="AA14" s="55">
        <f>SUM(Y14:Z14)</f>
        <v>948.01082400000018</v>
      </c>
      <c r="AB14" s="62">
        <f>K14+X14-AA14</f>
        <v>6051.989176</v>
      </c>
      <c r="AC14" s="298"/>
      <c r="AF14" s="74"/>
    </row>
    <row r="15" spans="4:32" ht="30" customHeight="1">
      <c r="D15" s="297"/>
      <c r="E15" s="252" t="s">
        <v>295</v>
      </c>
      <c r="F15" s="50"/>
      <c r="G15" s="51"/>
      <c r="H15" s="143"/>
      <c r="I15" s="53"/>
      <c r="J15" s="54"/>
      <c r="K15" s="55"/>
      <c r="L15" s="56"/>
      <c r="M15" s="57"/>
      <c r="N15" s="57"/>
      <c r="O15" s="57"/>
      <c r="P15" s="57"/>
      <c r="Q15" s="58"/>
      <c r="R15" s="57"/>
      <c r="S15" s="57"/>
      <c r="T15" s="57"/>
      <c r="U15" s="57"/>
      <c r="V15" s="57"/>
      <c r="W15" s="59"/>
      <c r="X15" s="55"/>
      <c r="Y15" s="60"/>
      <c r="Z15" s="61"/>
      <c r="AA15" s="55"/>
      <c r="AB15" s="62"/>
      <c r="AC15" s="298"/>
    </row>
    <row r="16" spans="4:32" ht="30" customHeight="1">
      <c r="D16" s="297">
        <v>3</v>
      </c>
      <c r="E16" s="251" t="s">
        <v>297</v>
      </c>
      <c r="F16" s="50" t="s">
        <v>296</v>
      </c>
      <c r="G16" s="51">
        <v>15</v>
      </c>
      <c r="H16" s="143">
        <f>I16/15</f>
        <v>333.33333333333331</v>
      </c>
      <c r="I16" s="53">
        <v>5000</v>
      </c>
      <c r="J16" s="54">
        <v>0</v>
      </c>
      <c r="K16" s="55">
        <f>TRUNC(SUM(G16*H16)+J16,2)</f>
        <v>5000</v>
      </c>
      <c r="L16" s="56"/>
      <c r="M16" s="57">
        <v>0</v>
      </c>
      <c r="N16" s="57">
        <f>K16+M16</f>
        <v>5000</v>
      </c>
      <c r="O16" s="57">
        <f>VLOOKUP(N16,Tarifa1,1)</f>
        <v>4244.1099999999997</v>
      </c>
      <c r="P16" s="57">
        <f>N16-O16</f>
        <v>755.89000000000033</v>
      </c>
      <c r="Q16" s="58">
        <f>VLOOKUP(N16,Tarifa1,3)</f>
        <v>0.1792</v>
      </c>
      <c r="R16" s="57">
        <f>P16*Q16</f>
        <v>135.45548800000006</v>
      </c>
      <c r="S16" s="57">
        <f>VLOOKUP(N16,Tarifa1,2)</f>
        <v>388.05</v>
      </c>
      <c r="T16" s="57">
        <f>R16+S16</f>
        <v>523.50548800000001</v>
      </c>
      <c r="U16" s="57">
        <f>VLOOKUP(N16,Credito1,2)</f>
        <v>0</v>
      </c>
      <c r="V16" s="57">
        <f>T16-U16</f>
        <v>523.50548800000001</v>
      </c>
      <c r="W16" s="59"/>
      <c r="X16" s="55">
        <f>-IF(V16&gt;0,0,V16)</f>
        <v>0</v>
      </c>
      <c r="Y16" s="60">
        <f>IF(V16&lt;0,0,V16)</f>
        <v>523.50548800000001</v>
      </c>
      <c r="Z16" s="61">
        <v>0</v>
      </c>
      <c r="AA16" s="55">
        <f>SUM(Y16:Z16)</f>
        <v>523.50548800000001</v>
      </c>
      <c r="AB16" s="62">
        <f>K16+X16-AA16</f>
        <v>4476.4945120000002</v>
      </c>
      <c r="AC16" s="298"/>
    </row>
    <row r="17" spans="4:32" ht="30" customHeight="1">
      <c r="D17" s="297"/>
      <c r="E17" s="252" t="s">
        <v>257</v>
      </c>
      <c r="F17" s="50"/>
      <c r="G17" s="51"/>
      <c r="H17" s="143"/>
      <c r="I17" s="53"/>
      <c r="J17" s="54"/>
      <c r="K17" s="55"/>
      <c r="L17" s="56"/>
      <c r="M17" s="57"/>
      <c r="N17" s="57"/>
      <c r="O17" s="57"/>
      <c r="P17" s="57"/>
      <c r="Q17" s="58"/>
      <c r="R17" s="57"/>
      <c r="S17" s="57"/>
      <c r="T17" s="57"/>
      <c r="U17" s="57"/>
      <c r="V17" s="57"/>
      <c r="W17" s="59"/>
      <c r="X17" s="55"/>
      <c r="Y17" s="60"/>
      <c r="Z17" s="61"/>
      <c r="AA17" s="55"/>
      <c r="AB17" s="62"/>
      <c r="AC17" s="298"/>
    </row>
    <row r="18" spans="4:32" ht="30" customHeight="1">
      <c r="D18" s="297">
        <v>4</v>
      </c>
      <c r="E18" s="251" t="s">
        <v>210</v>
      </c>
      <c r="F18" s="50" t="s">
        <v>146</v>
      </c>
      <c r="G18" s="51">
        <v>15</v>
      </c>
      <c r="H18" s="143">
        <f>I18/15</f>
        <v>178.53333333333333</v>
      </c>
      <c r="I18" s="53">
        <v>2678</v>
      </c>
      <c r="J18" s="54">
        <v>0</v>
      </c>
      <c r="K18" s="55">
        <f>TRUNC(SUM(G18*H18)+J18,2)</f>
        <v>2678</v>
      </c>
      <c r="L18" s="56"/>
      <c r="M18" s="57">
        <v>0</v>
      </c>
      <c r="N18" s="57">
        <f>K18+M18</f>
        <v>2678</v>
      </c>
      <c r="O18" s="57">
        <f>VLOOKUP(N18,Tarifa1,1)</f>
        <v>2077.5100000000002</v>
      </c>
      <c r="P18" s="57">
        <f>N18-O18</f>
        <v>600.48999999999978</v>
      </c>
      <c r="Q18" s="58">
        <f>VLOOKUP(N18,Tarifa1,3)</f>
        <v>0.10879999999999999</v>
      </c>
      <c r="R18" s="57">
        <f>P18*Q18</f>
        <v>65.333311999999978</v>
      </c>
      <c r="S18" s="57">
        <f>VLOOKUP(N18,Tarifa1,2)</f>
        <v>121.95</v>
      </c>
      <c r="T18" s="57">
        <f>R18+S18</f>
        <v>187.28331199999997</v>
      </c>
      <c r="U18" s="57">
        <f>VLOOKUP(N18,Credito1,2)</f>
        <v>145.35</v>
      </c>
      <c r="V18" s="57">
        <f>T18-U18</f>
        <v>41.933311999999972</v>
      </c>
      <c r="W18" s="59"/>
      <c r="X18" s="55">
        <f>-IF(V18&gt;0,0,V18)</f>
        <v>0</v>
      </c>
      <c r="Y18" s="60">
        <f>IF(V18&lt;0,0,V18)</f>
        <v>41.933311999999972</v>
      </c>
      <c r="Z18" s="61">
        <v>0</v>
      </c>
      <c r="AA18" s="55">
        <f>SUM(Y18:Z18)</f>
        <v>41.933311999999972</v>
      </c>
      <c r="AB18" s="62">
        <f>K18+X18-AA18</f>
        <v>2636.0666879999999</v>
      </c>
      <c r="AC18" s="298"/>
      <c r="AF18" s="74"/>
    </row>
    <row r="19" spans="4:32" ht="30" customHeight="1">
      <c r="D19" s="297"/>
      <c r="E19" s="252" t="s">
        <v>200</v>
      </c>
      <c r="F19" s="50"/>
      <c r="G19" s="51"/>
      <c r="H19" s="52"/>
      <c r="I19" s="53"/>
      <c r="J19" s="54"/>
      <c r="K19" s="55"/>
      <c r="L19" s="56"/>
      <c r="M19" s="57"/>
      <c r="N19" s="57"/>
      <c r="O19" s="57"/>
      <c r="P19" s="57"/>
      <c r="Q19" s="58"/>
      <c r="R19" s="57"/>
      <c r="S19" s="57"/>
      <c r="T19" s="57"/>
      <c r="U19" s="57"/>
      <c r="V19" s="57"/>
      <c r="W19" s="59"/>
      <c r="X19" s="55"/>
      <c r="Y19" s="60"/>
      <c r="Z19" s="61"/>
      <c r="AA19" s="55"/>
      <c r="AB19" s="62"/>
      <c r="AC19" s="298"/>
    </row>
    <row r="20" spans="4:32" ht="30" customHeight="1">
      <c r="D20" s="297">
        <v>5</v>
      </c>
      <c r="E20" s="251" t="s">
        <v>304</v>
      </c>
      <c r="F20" s="50" t="s">
        <v>212</v>
      </c>
      <c r="G20" s="51">
        <v>15</v>
      </c>
      <c r="H20" s="143">
        <f>I20/15</f>
        <v>123.53333333333333</v>
      </c>
      <c r="I20" s="53">
        <v>1853</v>
      </c>
      <c r="J20" s="54">
        <v>0</v>
      </c>
      <c r="K20" s="55">
        <f>TRUNC(SUM(G20*H20)+J20,2)</f>
        <v>1853</v>
      </c>
      <c r="L20" s="56"/>
      <c r="M20" s="57">
        <v>0</v>
      </c>
      <c r="N20" s="57">
        <f>K20+M20</f>
        <v>1853</v>
      </c>
      <c r="O20" s="57">
        <f>VLOOKUP(N20,Tarifa1,1)</f>
        <v>244.81</v>
      </c>
      <c r="P20" s="57">
        <f>N20-O20</f>
        <v>1608.19</v>
      </c>
      <c r="Q20" s="58">
        <f>VLOOKUP(N20,Tarifa1,3)</f>
        <v>6.4000000000000001E-2</v>
      </c>
      <c r="R20" s="57">
        <f>P20*Q20</f>
        <v>102.92416</v>
      </c>
      <c r="S20" s="57">
        <f>VLOOKUP(N20,Tarifa1,2)</f>
        <v>4.6500000000000004</v>
      </c>
      <c r="T20" s="57">
        <f>R20+S20</f>
        <v>107.57416000000001</v>
      </c>
      <c r="U20" s="57">
        <f>VLOOKUP(N20,Credito1,2)</f>
        <v>188.7</v>
      </c>
      <c r="V20" s="57">
        <f>T20-U20</f>
        <v>-81.125839999999982</v>
      </c>
      <c r="W20" s="59"/>
      <c r="X20" s="55">
        <f>-IF(V20&gt;0,0,V20)</f>
        <v>81.125839999999982</v>
      </c>
      <c r="Y20" s="60">
        <f>IF(V20&lt;0,0,V20)</f>
        <v>0</v>
      </c>
      <c r="Z20" s="61">
        <v>0</v>
      </c>
      <c r="AA20" s="55">
        <f>SUM(Y20:Z20)</f>
        <v>0</v>
      </c>
      <c r="AB20" s="62">
        <f>K20+X20-AA20</f>
        <v>1934.1258399999999</v>
      </c>
      <c r="AC20" s="298"/>
      <c r="AF20" s="74"/>
    </row>
    <row r="21" spans="4:32" ht="30" customHeight="1">
      <c r="D21" s="297">
        <v>6</v>
      </c>
      <c r="E21" s="251" t="s">
        <v>228</v>
      </c>
      <c r="F21" s="50" t="s">
        <v>307</v>
      </c>
      <c r="G21" s="51">
        <v>15</v>
      </c>
      <c r="H21" s="143">
        <f>I21/15</f>
        <v>178.53333333333333</v>
      </c>
      <c r="I21" s="53">
        <v>2678</v>
      </c>
      <c r="J21" s="54">
        <v>0</v>
      </c>
      <c r="K21" s="55">
        <f>TRUNC(SUM(G21*H21)+J21,2)</f>
        <v>2678</v>
      </c>
      <c r="L21" s="56"/>
      <c r="M21" s="57">
        <v>0</v>
      </c>
      <c r="N21" s="57">
        <f>K21+M21</f>
        <v>2678</v>
      </c>
      <c r="O21" s="57">
        <f>VLOOKUP(N21,Tarifa1,1)</f>
        <v>2077.5100000000002</v>
      </c>
      <c r="P21" s="57">
        <f>N21-O21</f>
        <v>600.48999999999978</v>
      </c>
      <c r="Q21" s="58">
        <f>VLOOKUP(N21,Tarifa1,3)</f>
        <v>0.10879999999999999</v>
      </c>
      <c r="R21" s="57">
        <f>P21*Q21</f>
        <v>65.333311999999978</v>
      </c>
      <c r="S21" s="57">
        <f>VLOOKUP(N21,Tarifa1,2)</f>
        <v>121.95</v>
      </c>
      <c r="T21" s="57">
        <f>R21+S21</f>
        <v>187.28331199999997</v>
      </c>
      <c r="U21" s="57">
        <f>VLOOKUP(N21,Credito1,2)</f>
        <v>145.35</v>
      </c>
      <c r="V21" s="57">
        <f>T21-U21</f>
        <v>41.933311999999972</v>
      </c>
      <c r="W21" s="59"/>
      <c r="X21" s="55">
        <f>-IF(V21&gt;0,0,V21)</f>
        <v>0</v>
      </c>
      <c r="Y21" s="60">
        <f>IF(V21&lt;0,0,V21)</f>
        <v>41.933311999999972</v>
      </c>
      <c r="Z21" s="61">
        <v>0</v>
      </c>
      <c r="AA21" s="55">
        <f>SUM(Y21:Z21)</f>
        <v>41.933311999999972</v>
      </c>
      <c r="AB21" s="62">
        <f>K21+X21-AA21</f>
        <v>2636.0666879999999</v>
      </c>
      <c r="AC21" s="298"/>
    </row>
    <row r="22" spans="4:32" ht="30" customHeight="1">
      <c r="D22" s="297"/>
      <c r="E22" s="252" t="s">
        <v>170</v>
      </c>
      <c r="F22" s="50"/>
      <c r="G22" s="51"/>
      <c r="H22" s="52"/>
      <c r="I22" s="53"/>
      <c r="J22" s="54"/>
      <c r="K22" s="55"/>
      <c r="L22" s="56"/>
      <c r="M22" s="57"/>
      <c r="N22" s="57"/>
      <c r="O22" s="57"/>
      <c r="P22" s="57"/>
      <c r="Q22" s="58"/>
      <c r="R22" s="57"/>
      <c r="S22" s="57"/>
      <c r="T22" s="57"/>
      <c r="U22" s="57"/>
      <c r="V22" s="57"/>
      <c r="W22" s="59"/>
      <c r="X22" s="55"/>
      <c r="Y22" s="60"/>
      <c r="Z22" s="61"/>
      <c r="AA22" s="55"/>
      <c r="AB22" s="62"/>
      <c r="AC22" s="298"/>
    </row>
    <row r="23" spans="4:32" ht="30" customHeight="1">
      <c r="D23" s="297">
        <v>7</v>
      </c>
      <c r="E23" s="251" t="s">
        <v>175</v>
      </c>
      <c r="F23" s="50" t="s">
        <v>75</v>
      </c>
      <c r="G23" s="51">
        <v>15</v>
      </c>
      <c r="H23" s="143">
        <f t="shared" ref="H23:H28" si="0">I23/15</f>
        <v>123.53333333333333</v>
      </c>
      <c r="I23" s="53">
        <v>1853</v>
      </c>
      <c r="J23" s="54">
        <v>0</v>
      </c>
      <c r="K23" s="55">
        <f>TRUNC(SUM(G23*H23)+J23,2)</f>
        <v>1853</v>
      </c>
      <c r="L23" s="56"/>
      <c r="M23" s="57">
        <v>0</v>
      </c>
      <c r="N23" s="57">
        <f>K23+M23</f>
        <v>1853</v>
      </c>
      <c r="O23" s="57">
        <f>VLOOKUP(N23,Tarifa1,1)</f>
        <v>244.81</v>
      </c>
      <c r="P23" s="57">
        <f>N23-O23</f>
        <v>1608.19</v>
      </c>
      <c r="Q23" s="58">
        <f>VLOOKUP(N23,Tarifa1,3)</f>
        <v>6.4000000000000001E-2</v>
      </c>
      <c r="R23" s="57">
        <f>P23*Q23</f>
        <v>102.92416</v>
      </c>
      <c r="S23" s="57">
        <f>VLOOKUP(N23,Tarifa1,2)</f>
        <v>4.6500000000000004</v>
      </c>
      <c r="T23" s="57">
        <f>R23+S23</f>
        <v>107.57416000000001</v>
      </c>
      <c r="U23" s="57">
        <f>VLOOKUP(N23,Credito1,2)</f>
        <v>188.7</v>
      </c>
      <c r="V23" s="57">
        <f>T23-U23</f>
        <v>-81.125839999999982</v>
      </c>
      <c r="W23" s="59"/>
      <c r="X23" s="55">
        <f>-IF(V23&gt;0,0,V23)</f>
        <v>81.125839999999982</v>
      </c>
      <c r="Y23" s="60">
        <f>IF(V23&lt;0,0,V23)</f>
        <v>0</v>
      </c>
      <c r="Z23" s="61">
        <v>0</v>
      </c>
      <c r="AA23" s="55">
        <f>SUM(Y23:Z23)</f>
        <v>0</v>
      </c>
      <c r="AB23" s="62">
        <f>K23+X23-AA23</f>
        <v>1934.1258399999999</v>
      </c>
      <c r="AC23" s="298"/>
    </row>
    <row r="24" spans="4:32" ht="30" customHeight="1">
      <c r="D24" s="299"/>
      <c r="E24" s="284" t="s">
        <v>177</v>
      </c>
      <c r="F24" s="50"/>
      <c r="G24" s="51"/>
      <c r="H24" s="52"/>
      <c r="I24" s="53"/>
      <c r="J24" s="54"/>
      <c r="K24" s="55"/>
      <c r="L24" s="56"/>
      <c r="M24" s="57"/>
      <c r="N24" s="57"/>
      <c r="O24" s="57"/>
      <c r="P24" s="57"/>
      <c r="Q24" s="58"/>
      <c r="R24" s="57"/>
      <c r="S24" s="57"/>
      <c r="T24" s="57"/>
      <c r="U24" s="57"/>
      <c r="V24" s="57"/>
      <c r="W24" s="59"/>
      <c r="X24" s="55"/>
      <c r="Y24" s="60"/>
      <c r="Z24" s="61"/>
      <c r="AA24" s="55"/>
      <c r="AB24" s="62"/>
      <c r="AC24" s="298"/>
    </row>
    <row r="25" spans="4:32" ht="30" customHeight="1">
      <c r="D25" s="299">
        <v>8</v>
      </c>
      <c r="E25" s="285" t="s">
        <v>213</v>
      </c>
      <c r="F25" s="283" t="s">
        <v>75</v>
      </c>
      <c r="G25" s="51">
        <v>15</v>
      </c>
      <c r="H25" s="143">
        <f t="shared" si="0"/>
        <v>171.66666666666666</v>
      </c>
      <c r="I25" s="53">
        <v>2575</v>
      </c>
      <c r="J25" s="54">
        <v>0</v>
      </c>
      <c r="K25" s="55">
        <f>TRUNC(SUM(G25*H25)+J25,2)</f>
        <v>2575</v>
      </c>
      <c r="L25" s="56"/>
      <c r="M25" s="57">
        <v>0</v>
      </c>
      <c r="N25" s="57">
        <f>K25+M25</f>
        <v>2575</v>
      </c>
      <c r="O25" s="57">
        <f>VLOOKUP(N25,Tarifa1,1)</f>
        <v>2077.5100000000002</v>
      </c>
      <c r="P25" s="57">
        <f>N25-O25</f>
        <v>497.48999999999978</v>
      </c>
      <c r="Q25" s="58">
        <f>VLOOKUP(N25,Tarifa1,3)</f>
        <v>0.10879999999999999</v>
      </c>
      <c r="R25" s="57">
        <f>P25*Q25</f>
        <v>54.126911999999976</v>
      </c>
      <c r="S25" s="57">
        <f>VLOOKUP(N25,Tarifa1,2)</f>
        <v>121.95</v>
      </c>
      <c r="T25" s="57">
        <f>R25+S25</f>
        <v>176.07691199999999</v>
      </c>
      <c r="U25" s="57">
        <f>VLOOKUP(N25,Credito1,2)</f>
        <v>160.35</v>
      </c>
      <c r="V25" s="57">
        <f>T25-U25</f>
        <v>15.726911999999999</v>
      </c>
      <c r="W25" s="59"/>
      <c r="X25" s="55">
        <f>-IF(V25&gt;0,0,V25)</f>
        <v>0</v>
      </c>
      <c r="Y25" s="60">
        <f>IF(V25&lt;0,0,V25)</f>
        <v>15.726911999999999</v>
      </c>
      <c r="Z25" s="61">
        <v>0</v>
      </c>
      <c r="AA25" s="55">
        <f>SUM(Y25:Z25)</f>
        <v>15.726911999999999</v>
      </c>
      <c r="AB25" s="62">
        <f>K25+X25-AA25</f>
        <v>2559.2730879999999</v>
      </c>
      <c r="AC25" s="298"/>
      <c r="AF25" s="74"/>
    </row>
    <row r="26" spans="4:32" ht="30" customHeight="1">
      <c r="D26" s="299"/>
      <c r="E26" s="282" t="s">
        <v>214</v>
      </c>
      <c r="F26" s="286"/>
      <c r="G26" s="51"/>
      <c r="H26" s="52"/>
      <c r="I26" s="53"/>
      <c r="J26" s="54"/>
      <c r="K26" s="55"/>
      <c r="L26" s="56"/>
      <c r="M26" s="57"/>
      <c r="N26" s="57"/>
      <c r="O26" s="57"/>
      <c r="P26" s="57"/>
      <c r="Q26" s="58"/>
      <c r="R26" s="57"/>
      <c r="S26" s="57"/>
      <c r="T26" s="57"/>
      <c r="U26" s="57"/>
      <c r="V26" s="57"/>
      <c r="W26" s="59"/>
      <c r="X26" s="55"/>
      <c r="Y26" s="60"/>
      <c r="Z26" s="61"/>
      <c r="AA26" s="55"/>
      <c r="AB26" s="62"/>
      <c r="AC26" s="298"/>
    </row>
    <row r="27" spans="4:32" ht="30" customHeight="1">
      <c r="D27" s="299">
        <v>9</v>
      </c>
      <c r="E27" s="287" t="s">
        <v>126</v>
      </c>
      <c r="F27" s="286" t="s">
        <v>95</v>
      </c>
      <c r="G27" s="51">
        <v>15</v>
      </c>
      <c r="H27" s="143">
        <f t="shared" si="0"/>
        <v>126.6</v>
      </c>
      <c r="I27" s="53">
        <v>1899</v>
      </c>
      <c r="J27" s="54">
        <v>0</v>
      </c>
      <c r="K27" s="55">
        <f>TRUNC(SUM(G27*H27)+J27,2)</f>
        <v>1899</v>
      </c>
      <c r="L27" s="56"/>
      <c r="M27" s="57">
        <v>0</v>
      </c>
      <c r="N27" s="57">
        <f>K27+M27</f>
        <v>1899</v>
      </c>
      <c r="O27" s="57">
        <f>VLOOKUP(N27,Tarifa1,1)</f>
        <v>244.81</v>
      </c>
      <c r="P27" s="57">
        <f>N27-O27</f>
        <v>1654.19</v>
      </c>
      <c r="Q27" s="58">
        <f>VLOOKUP(N27,Tarifa1,3)</f>
        <v>6.4000000000000001E-2</v>
      </c>
      <c r="R27" s="57">
        <f>P27*Q27</f>
        <v>105.86816</v>
      </c>
      <c r="S27" s="57">
        <f>VLOOKUP(N27,Tarifa1,2)</f>
        <v>4.6500000000000004</v>
      </c>
      <c r="T27" s="57">
        <f>R27+S27</f>
        <v>110.51816000000001</v>
      </c>
      <c r="U27" s="57">
        <f>VLOOKUP(N27,Credito1,2)</f>
        <v>188.7</v>
      </c>
      <c r="V27" s="57">
        <f>T27-U27</f>
        <v>-78.18183999999998</v>
      </c>
      <c r="W27" s="59"/>
      <c r="X27" s="55">
        <f>-IF(V27&gt;0,0,V27)</f>
        <v>78.18183999999998</v>
      </c>
      <c r="Y27" s="60">
        <f>IF(V27&lt;0,0,V27)</f>
        <v>0</v>
      </c>
      <c r="Z27" s="61">
        <v>0</v>
      </c>
      <c r="AA27" s="55">
        <f>SUM(Y27:Z27)</f>
        <v>0</v>
      </c>
      <c r="AB27" s="62">
        <f>K27+X27-AA27</f>
        <v>1977.18184</v>
      </c>
      <c r="AC27" s="298"/>
      <c r="AF27" s="74"/>
    </row>
    <row r="28" spans="4:32" ht="30" customHeight="1">
      <c r="D28" s="299">
        <v>10</v>
      </c>
      <c r="E28" s="287" t="s">
        <v>215</v>
      </c>
      <c r="F28" s="286" t="s">
        <v>95</v>
      </c>
      <c r="G28" s="51">
        <v>15</v>
      </c>
      <c r="H28" s="143">
        <f t="shared" si="0"/>
        <v>126.6</v>
      </c>
      <c r="I28" s="53">
        <v>1899</v>
      </c>
      <c r="J28" s="54">
        <v>0</v>
      </c>
      <c r="K28" s="55">
        <f>TRUNC(SUM(G28*H28)+J28,2)</f>
        <v>1899</v>
      </c>
      <c r="L28" s="56"/>
      <c r="M28" s="57">
        <v>0</v>
      </c>
      <c r="N28" s="57">
        <f>K28+M28</f>
        <v>1899</v>
      </c>
      <c r="O28" s="57">
        <f>VLOOKUP(N28,Tarifa1,1)</f>
        <v>244.81</v>
      </c>
      <c r="P28" s="57">
        <f>N28-O28</f>
        <v>1654.19</v>
      </c>
      <c r="Q28" s="58">
        <f>VLOOKUP(N28,Tarifa1,3)</f>
        <v>6.4000000000000001E-2</v>
      </c>
      <c r="R28" s="57">
        <f>P28*Q28</f>
        <v>105.86816</v>
      </c>
      <c r="S28" s="57">
        <f>VLOOKUP(N28,Tarifa1,2)</f>
        <v>4.6500000000000004</v>
      </c>
      <c r="T28" s="57">
        <f>R28+S28</f>
        <v>110.51816000000001</v>
      </c>
      <c r="U28" s="57">
        <f>VLOOKUP(N28,Credito1,2)</f>
        <v>188.7</v>
      </c>
      <c r="V28" s="57">
        <f>T28-U28</f>
        <v>-78.18183999999998</v>
      </c>
      <c r="W28" s="59"/>
      <c r="X28" s="55">
        <f>-IF(V28&gt;0,0,V28)</f>
        <v>78.18183999999998</v>
      </c>
      <c r="Y28" s="60">
        <v>0</v>
      </c>
      <c r="Z28" s="61">
        <v>0</v>
      </c>
      <c r="AA28" s="55">
        <f>SUM(Y28:Z28)</f>
        <v>0</v>
      </c>
      <c r="AB28" s="62">
        <f>K28+X28-AA28</f>
        <v>1977.18184</v>
      </c>
      <c r="AC28" s="298"/>
    </row>
    <row r="29" spans="4:32" ht="24.95" customHeight="1">
      <c r="D29" s="300"/>
      <c r="E29" s="281"/>
      <c r="F29" s="77"/>
      <c r="G29" s="78"/>
      <c r="H29" s="79"/>
      <c r="I29" s="80"/>
      <c r="J29" s="81"/>
      <c r="K29" s="82"/>
      <c r="L29" s="56"/>
      <c r="M29" s="83"/>
      <c r="N29" s="83"/>
      <c r="O29" s="83"/>
      <c r="P29" s="83"/>
      <c r="Q29" s="84"/>
      <c r="R29" s="83"/>
      <c r="S29" s="83"/>
      <c r="T29" s="83"/>
      <c r="U29" s="83"/>
      <c r="V29" s="83"/>
      <c r="W29" s="59"/>
      <c r="X29" s="82"/>
      <c r="Y29" s="85"/>
      <c r="Z29" s="86"/>
      <c r="AA29" s="82"/>
      <c r="AB29" s="87"/>
      <c r="AC29" s="301"/>
    </row>
    <row r="30" spans="4:32" ht="24.95" customHeight="1">
      <c r="D30" s="300"/>
      <c r="E30" s="77"/>
      <c r="F30" s="77"/>
      <c r="G30" s="78"/>
      <c r="H30" s="79"/>
      <c r="I30" s="80"/>
      <c r="J30" s="81"/>
      <c r="K30" s="82"/>
      <c r="L30" s="56"/>
      <c r="M30" s="83"/>
      <c r="N30" s="83"/>
      <c r="O30" s="83"/>
      <c r="P30" s="83"/>
      <c r="Q30" s="84"/>
      <c r="R30" s="83"/>
      <c r="S30" s="83"/>
      <c r="T30" s="83"/>
      <c r="U30" s="83"/>
      <c r="V30" s="83"/>
      <c r="W30" s="59"/>
      <c r="X30" s="82"/>
      <c r="Y30" s="85"/>
      <c r="Z30" s="86"/>
      <c r="AA30" s="82"/>
      <c r="AB30" s="87"/>
      <c r="AC30" s="301"/>
    </row>
    <row r="31" spans="4:32" ht="15.95" customHeight="1">
      <c r="D31" s="302"/>
      <c r="E31" s="303"/>
      <c r="F31" s="303"/>
      <c r="G31" s="303"/>
      <c r="H31" s="303"/>
      <c r="I31" s="303"/>
      <c r="J31" s="303"/>
      <c r="K31" s="303"/>
      <c r="L31" s="303"/>
      <c r="M31" s="303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303"/>
      <c r="AC31" s="304"/>
    </row>
    <row r="32" spans="4:32" ht="15.95" customHeight="1">
      <c r="D32" s="305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7"/>
    </row>
    <row r="33" spans="4:32" ht="18" customHeight="1">
      <c r="D33" s="338" t="s">
        <v>68</v>
      </c>
      <c r="E33" s="339"/>
      <c r="F33" s="339"/>
      <c r="G33" s="339"/>
      <c r="H33" s="339"/>
      <c r="I33" s="339"/>
      <c r="J33" s="339"/>
      <c r="K33" s="339"/>
      <c r="L33" s="339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39"/>
      <c r="Y33" s="339"/>
      <c r="Z33" s="339"/>
      <c r="AA33" s="339"/>
      <c r="AB33" s="339"/>
      <c r="AC33" s="340"/>
    </row>
    <row r="34" spans="4:32" ht="18" customHeight="1">
      <c r="D34" s="341" t="str">
        <f>D4</f>
        <v>SUELDOS 16 AL 30 DE NOVIEMBRE DE 2016</v>
      </c>
      <c r="E34" s="342"/>
      <c r="F34" s="342"/>
      <c r="G34" s="342"/>
      <c r="H34" s="342"/>
      <c r="I34" s="342"/>
      <c r="J34" s="342"/>
      <c r="K34" s="342"/>
      <c r="L34" s="342"/>
      <c r="M34" s="342"/>
      <c r="N34" s="342"/>
      <c r="O34" s="342"/>
      <c r="P34" s="342"/>
      <c r="Q34" s="342"/>
      <c r="R34" s="342"/>
      <c r="S34" s="342"/>
      <c r="T34" s="342"/>
      <c r="U34" s="342"/>
      <c r="V34" s="342"/>
      <c r="W34" s="342"/>
      <c r="X34" s="342"/>
      <c r="Y34" s="342"/>
      <c r="Z34" s="342"/>
      <c r="AA34" s="342"/>
      <c r="AB34" s="342"/>
      <c r="AC34" s="343"/>
    </row>
    <row r="35" spans="4:32" ht="18" customHeight="1">
      <c r="D35" s="341" t="s">
        <v>71</v>
      </c>
      <c r="E35" s="342"/>
      <c r="F35" s="342"/>
      <c r="G35" s="342"/>
      <c r="H35" s="342"/>
      <c r="I35" s="342"/>
      <c r="J35" s="342"/>
      <c r="K35" s="342"/>
      <c r="L35" s="342"/>
      <c r="M35" s="342"/>
      <c r="N35" s="342"/>
      <c r="O35" s="342"/>
      <c r="P35" s="342"/>
      <c r="Q35" s="342"/>
      <c r="R35" s="342"/>
      <c r="S35" s="342"/>
      <c r="T35" s="342"/>
      <c r="U35" s="342"/>
      <c r="V35" s="342"/>
      <c r="W35" s="342"/>
      <c r="X35" s="342"/>
      <c r="Y35" s="342"/>
      <c r="Z35" s="342"/>
      <c r="AA35" s="342"/>
      <c r="AB35" s="342"/>
      <c r="AC35" s="343"/>
    </row>
    <row r="36" spans="4:32" ht="15" customHeight="1">
      <c r="D36" s="308"/>
      <c r="E36" s="25"/>
      <c r="F36" s="25"/>
      <c r="G36" s="110" t="s">
        <v>22</v>
      </c>
      <c r="H36" s="110" t="s">
        <v>6</v>
      </c>
      <c r="I36" s="335" t="s">
        <v>1</v>
      </c>
      <c r="J36" s="336"/>
      <c r="K36" s="337"/>
      <c r="L36" s="109"/>
      <c r="M36" s="110" t="s">
        <v>25</v>
      </c>
      <c r="N36" s="115"/>
      <c r="O36" s="335" t="s">
        <v>9</v>
      </c>
      <c r="P36" s="336"/>
      <c r="Q36" s="336"/>
      <c r="R36" s="336"/>
      <c r="S36" s="336"/>
      <c r="T36" s="337"/>
      <c r="U36" s="110" t="s">
        <v>29</v>
      </c>
      <c r="V36" s="110" t="s">
        <v>10</v>
      </c>
      <c r="W36" s="109"/>
      <c r="X36" s="110" t="s">
        <v>53</v>
      </c>
      <c r="Y36" s="335" t="s">
        <v>2</v>
      </c>
      <c r="Z36" s="336"/>
      <c r="AA36" s="337"/>
      <c r="AB36" s="110" t="s">
        <v>0</v>
      </c>
      <c r="AC36" s="309"/>
    </row>
    <row r="37" spans="4:32" ht="15" customHeight="1">
      <c r="D37" s="310" t="s">
        <v>21</v>
      </c>
      <c r="E37" s="31"/>
      <c r="F37" s="31"/>
      <c r="G37" s="119" t="s">
        <v>23</v>
      </c>
      <c r="H37" s="108" t="s">
        <v>24</v>
      </c>
      <c r="I37" s="110" t="s">
        <v>6</v>
      </c>
      <c r="J37" s="110" t="s">
        <v>61</v>
      </c>
      <c r="K37" s="110" t="s">
        <v>27</v>
      </c>
      <c r="L37" s="109"/>
      <c r="M37" s="108" t="s">
        <v>26</v>
      </c>
      <c r="N37" s="115" t="s">
        <v>31</v>
      </c>
      <c r="O37" s="115" t="s">
        <v>12</v>
      </c>
      <c r="P37" s="115" t="s">
        <v>33</v>
      </c>
      <c r="Q37" s="115" t="s">
        <v>35</v>
      </c>
      <c r="R37" s="115" t="s">
        <v>36</v>
      </c>
      <c r="S37" s="115" t="s">
        <v>14</v>
      </c>
      <c r="T37" s="115" t="s">
        <v>10</v>
      </c>
      <c r="U37" s="108" t="s">
        <v>39</v>
      </c>
      <c r="V37" s="108" t="s">
        <v>40</v>
      </c>
      <c r="W37" s="109"/>
      <c r="X37" s="108" t="s">
        <v>30</v>
      </c>
      <c r="Y37" s="110" t="s">
        <v>3</v>
      </c>
      <c r="Z37" s="110" t="s">
        <v>57</v>
      </c>
      <c r="AA37" s="110" t="s">
        <v>7</v>
      </c>
      <c r="AB37" s="108" t="s">
        <v>4</v>
      </c>
      <c r="AC37" s="311" t="s">
        <v>60</v>
      </c>
    </row>
    <row r="38" spans="4:32" ht="14.1" customHeight="1">
      <c r="D38" s="312"/>
      <c r="E38" s="107"/>
      <c r="F38" s="107" t="s">
        <v>65</v>
      </c>
      <c r="G38" s="108"/>
      <c r="H38" s="108"/>
      <c r="I38" s="108" t="s">
        <v>46</v>
      </c>
      <c r="J38" s="108" t="s">
        <v>62</v>
      </c>
      <c r="K38" s="108" t="s">
        <v>28</v>
      </c>
      <c r="L38" s="109"/>
      <c r="M38" s="108" t="s">
        <v>42</v>
      </c>
      <c r="N38" s="110" t="s">
        <v>32</v>
      </c>
      <c r="O38" s="110" t="s">
        <v>13</v>
      </c>
      <c r="P38" s="110" t="s">
        <v>34</v>
      </c>
      <c r="Q38" s="110" t="s">
        <v>34</v>
      </c>
      <c r="R38" s="110" t="s">
        <v>37</v>
      </c>
      <c r="S38" s="110" t="s">
        <v>15</v>
      </c>
      <c r="T38" s="110" t="s">
        <v>38</v>
      </c>
      <c r="U38" s="108" t="s">
        <v>19</v>
      </c>
      <c r="V38" s="111" t="s">
        <v>235</v>
      </c>
      <c r="W38" s="112"/>
      <c r="X38" s="108" t="s">
        <v>52</v>
      </c>
      <c r="Y38" s="108"/>
      <c r="Z38" s="108"/>
      <c r="AA38" s="108" t="s">
        <v>43</v>
      </c>
      <c r="AB38" s="108" t="s">
        <v>5</v>
      </c>
      <c r="AC38" s="313"/>
    </row>
    <row r="39" spans="4:32" ht="14.1" customHeight="1">
      <c r="D39" s="310"/>
      <c r="E39" s="114" t="s">
        <v>163</v>
      </c>
      <c r="F39" s="114" t="s">
        <v>64</v>
      </c>
      <c r="G39" s="115"/>
      <c r="H39" s="115"/>
      <c r="I39" s="115"/>
      <c r="J39" s="115"/>
      <c r="K39" s="115"/>
      <c r="L39" s="280"/>
      <c r="M39" s="115"/>
      <c r="N39" s="115"/>
      <c r="O39" s="115"/>
      <c r="P39" s="115"/>
      <c r="Q39" s="115"/>
      <c r="R39" s="115"/>
      <c r="S39" s="115"/>
      <c r="T39" s="115"/>
      <c r="U39" s="115"/>
      <c r="V39" s="280"/>
      <c r="W39" s="280"/>
      <c r="X39" s="115"/>
      <c r="Y39" s="115"/>
      <c r="Z39" s="115"/>
      <c r="AA39" s="115"/>
      <c r="AB39" s="115"/>
      <c r="AC39" s="314"/>
    </row>
    <row r="40" spans="4:32" ht="30" customHeight="1">
      <c r="D40" s="297"/>
      <c r="E40" s="252" t="s">
        <v>219</v>
      </c>
      <c r="F40" s="50"/>
      <c r="G40" s="51"/>
      <c r="H40" s="52"/>
      <c r="I40" s="53"/>
      <c r="J40" s="54"/>
      <c r="K40" s="55"/>
      <c r="L40" s="56"/>
      <c r="M40" s="57"/>
      <c r="N40" s="57"/>
      <c r="O40" s="57"/>
      <c r="P40" s="57"/>
      <c r="Q40" s="58"/>
      <c r="R40" s="57"/>
      <c r="S40" s="57"/>
      <c r="T40" s="57"/>
      <c r="U40" s="57"/>
      <c r="V40" s="57"/>
      <c r="W40" s="59"/>
      <c r="X40" s="55"/>
      <c r="Y40" s="60"/>
      <c r="Z40" s="61"/>
      <c r="AA40" s="55"/>
      <c r="AB40" s="62"/>
      <c r="AC40" s="298"/>
    </row>
    <row r="41" spans="4:32" ht="30" customHeight="1">
      <c r="D41" s="297">
        <v>11</v>
      </c>
      <c r="E41" s="251" t="s">
        <v>222</v>
      </c>
      <c r="F41" s="50" t="s">
        <v>221</v>
      </c>
      <c r="G41" s="51">
        <v>15</v>
      </c>
      <c r="H41" s="143">
        <f t="shared" ref="H41:H87" si="1">I41/15</f>
        <v>185.66666666666666</v>
      </c>
      <c r="I41" s="53">
        <v>2785</v>
      </c>
      <c r="J41" s="54">
        <v>0</v>
      </c>
      <c r="K41" s="55">
        <f t="shared" ref="K41:K53" si="2">TRUNC(SUM(G41*H41)+J41,2)</f>
        <v>2785</v>
      </c>
      <c r="L41" s="56"/>
      <c r="M41" s="57">
        <v>0</v>
      </c>
      <c r="N41" s="57">
        <f t="shared" ref="N41:N57" si="3">K41+M41</f>
        <v>2785</v>
      </c>
      <c r="O41" s="57">
        <f t="shared" ref="O41:O50" si="4">VLOOKUP(N41,Tarifa1,1)</f>
        <v>2077.5100000000002</v>
      </c>
      <c r="P41" s="57">
        <f t="shared" ref="P41:P50" si="5">N41-O41</f>
        <v>707.48999999999978</v>
      </c>
      <c r="Q41" s="58">
        <f t="shared" ref="Q41:Q50" si="6">VLOOKUP(N41,Tarifa1,3)</f>
        <v>0.10879999999999999</v>
      </c>
      <c r="R41" s="57">
        <f t="shared" ref="R41:R50" si="7">P41*Q41</f>
        <v>76.974911999999975</v>
      </c>
      <c r="S41" s="57">
        <f t="shared" ref="S41:S50" si="8">VLOOKUP(N41,Tarifa1,2)</f>
        <v>121.95</v>
      </c>
      <c r="T41" s="57">
        <f t="shared" ref="T41:T50" si="9">R41+S41</f>
        <v>198.92491199999998</v>
      </c>
      <c r="U41" s="57">
        <f t="shared" ref="U41:U50" si="10">VLOOKUP(N41,Credito1,2)</f>
        <v>145.35</v>
      </c>
      <c r="V41" s="57">
        <f t="shared" ref="V41:V50" si="11">T41-U41</f>
        <v>53.574911999999983</v>
      </c>
      <c r="W41" s="59"/>
      <c r="X41" s="55">
        <f t="shared" ref="X41:X46" si="12">-IF(V41&gt;0,0,V41)</f>
        <v>0</v>
      </c>
      <c r="Y41" s="60">
        <f>IF(V41&lt;0,0,V41)</f>
        <v>53.574911999999983</v>
      </c>
      <c r="Z41" s="61">
        <v>0</v>
      </c>
      <c r="AA41" s="55">
        <f t="shared" ref="AA41:AA57" si="13">SUM(Y41:Z41)</f>
        <v>53.574911999999983</v>
      </c>
      <c r="AB41" s="62">
        <f t="shared" ref="AB41:AB57" si="14">K41+X41-AA41</f>
        <v>2731.425088</v>
      </c>
      <c r="AC41" s="298"/>
      <c r="AF41" s="74"/>
    </row>
    <row r="42" spans="4:32" ht="30" customHeight="1">
      <c r="D42" s="297">
        <v>12</v>
      </c>
      <c r="E42" s="253" t="s">
        <v>280</v>
      </c>
      <c r="F42" s="50" t="s">
        <v>278</v>
      </c>
      <c r="G42" s="51">
        <v>15</v>
      </c>
      <c r="H42" s="143">
        <f t="shared" si="1"/>
        <v>126.6</v>
      </c>
      <c r="I42" s="53">
        <v>1899</v>
      </c>
      <c r="J42" s="54">
        <v>0</v>
      </c>
      <c r="K42" s="55">
        <f>TRUNC(SUM(G42*H42)+J42,2)</f>
        <v>1899</v>
      </c>
      <c r="L42" s="56"/>
      <c r="M42" s="57">
        <v>0</v>
      </c>
      <c r="N42" s="57">
        <f>K42+M42</f>
        <v>1899</v>
      </c>
      <c r="O42" s="57">
        <f t="shared" si="4"/>
        <v>244.81</v>
      </c>
      <c r="P42" s="57">
        <f t="shared" si="5"/>
        <v>1654.19</v>
      </c>
      <c r="Q42" s="58">
        <f t="shared" si="6"/>
        <v>6.4000000000000001E-2</v>
      </c>
      <c r="R42" s="57">
        <f t="shared" si="7"/>
        <v>105.86816</v>
      </c>
      <c r="S42" s="57">
        <f t="shared" si="8"/>
        <v>4.6500000000000004</v>
      </c>
      <c r="T42" s="57">
        <f t="shared" si="9"/>
        <v>110.51816000000001</v>
      </c>
      <c r="U42" s="57">
        <f t="shared" si="10"/>
        <v>188.7</v>
      </c>
      <c r="V42" s="57">
        <f t="shared" si="11"/>
        <v>-78.18183999999998</v>
      </c>
      <c r="W42" s="59"/>
      <c r="X42" s="55">
        <f t="shared" si="12"/>
        <v>78.18183999999998</v>
      </c>
      <c r="Y42" s="60">
        <f>IF(V42&lt;0,0,V42)</f>
        <v>0</v>
      </c>
      <c r="Z42" s="61">
        <v>0</v>
      </c>
      <c r="AA42" s="55">
        <f>SUM(Y42:Z42)</f>
        <v>0</v>
      </c>
      <c r="AB42" s="62">
        <f>K42+X42-AA42</f>
        <v>1977.18184</v>
      </c>
      <c r="AC42" s="298"/>
      <c r="AF42" s="74"/>
    </row>
    <row r="43" spans="4:32" ht="30" customHeight="1">
      <c r="D43" s="297">
        <v>13</v>
      </c>
      <c r="E43" s="253" t="s">
        <v>281</v>
      </c>
      <c r="F43" s="50" t="s">
        <v>95</v>
      </c>
      <c r="G43" s="51">
        <v>15</v>
      </c>
      <c r="H43" s="143">
        <f>I43/15</f>
        <v>171.66666666666666</v>
      </c>
      <c r="I43" s="53">
        <v>2575</v>
      </c>
      <c r="J43" s="54">
        <v>0</v>
      </c>
      <c r="K43" s="55">
        <v>2575</v>
      </c>
      <c r="L43" s="56"/>
      <c r="M43" s="57">
        <v>1</v>
      </c>
      <c r="N43" s="57">
        <f>K43+M43</f>
        <v>2576</v>
      </c>
      <c r="O43" s="57">
        <f t="shared" si="4"/>
        <v>2077.5100000000002</v>
      </c>
      <c r="P43" s="57">
        <f t="shared" si="5"/>
        <v>498.48999999999978</v>
      </c>
      <c r="Q43" s="58">
        <f t="shared" si="6"/>
        <v>0.10879999999999999</v>
      </c>
      <c r="R43" s="57">
        <f t="shared" si="7"/>
        <v>54.235711999999971</v>
      </c>
      <c r="S43" s="57">
        <f t="shared" si="8"/>
        <v>121.95</v>
      </c>
      <c r="T43" s="57">
        <f t="shared" si="9"/>
        <v>176.18571199999997</v>
      </c>
      <c r="U43" s="57">
        <f t="shared" si="10"/>
        <v>160.35</v>
      </c>
      <c r="V43" s="57">
        <f t="shared" si="11"/>
        <v>15.835711999999972</v>
      </c>
      <c r="W43" s="59"/>
      <c r="X43" s="55">
        <f t="shared" si="12"/>
        <v>0</v>
      </c>
      <c r="Y43" s="60">
        <v>7.57</v>
      </c>
      <c r="Z43" s="61">
        <v>0</v>
      </c>
      <c r="AA43" s="55">
        <f>SUM(Y43:Z43)</f>
        <v>7.57</v>
      </c>
      <c r="AB43" s="62">
        <f>K43+X43-AA43</f>
        <v>2567.4299999999998</v>
      </c>
      <c r="AC43" s="298"/>
      <c r="AF43" s="74"/>
    </row>
    <row r="44" spans="4:32" ht="30" customHeight="1">
      <c r="D44" s="297">
        <v>14</v>
      </c>
      <c r="E44" s="251" t="s">
        <v>166</v>
      </c>
      <c r="F44" s="50" t="s">
        <v>125</v>
      </c>
      <c r="G44" s="51">
        <v>15</v>
      </c>
      <c r="H44" s="143">
        <f>I44/15</f>
        <v>133.66666666666666</v>
      </c>
      <c r="I44" s="53">
        <v>2005</v>
      </c>
      <c r="J44" s="54">
        <v>0</v>
      </c>
      <c r="K44" s="55">
        <f>TRUNC(SUM(G44*H44)+J44,2)</f>
        <v>2005</v>
      </c>
      <c r="L44" s="56"/>
      <c r="M44" s="57">
        <v>0</v>
      </c>
      <c r="N44" s="57">
        <f>K44+M44</f>
        <v>2005</v>
      </c>
      <c r="O44" s="57">
        <f t="shared" si="4"/>
        <v>244.81</v>
      </c>
      <c r="P44" s="57">
        <f t="shared" si="5"/>
        <v>1760.19</v>
      </c>
      <c r="Q44" s="58">
        <f t="shared" si="6"/>
        <v>6.4000000000000001E-2</v>
      </c>
      <c r="R44" s="57">
        <f t="shared" si="7"/>
        <v>112.65216000000001</v>
      </c>
      <c r="S44" s="57">
        <f t="shared" si="8"/>
        <v>4.6500000000000004</v>
      </c>
      <c r="T44" s="57">
        <f t="shared" si="9"/>
        <v>117.30216000000001</v>
      </c>
      <c r="U44" s="57">
        <f t="shared" si="10"/>
        <v>188.7</v>
      </c>
      <c r="V44" s="57">
        <f t="shared" si="11"/>
        <v>-71.397839999999974</v>
      </c>
      <c r="W44" s="59"/>
      <c r="X44" s="55">
        <f t="shared" si="12"/>
        <v>71.397839999999974</v>
      </c>
      <c r="Y44" s="60">
        <f>IF(V44&lt;0,0,V44)</f>
        <v>0</v>
      </c>
      <c r="Z44" s="61">
        <v>0</v>
      </c>
      <c r="AA44" s="55">
        <f>SUM(Y44:Z44)</f>
        <v>0</v>
      </c>
      <c r="AB44" s="62">
        <f>K44+X44-AA44</f>
        <v>2076.3978400000001</v>
      </c>
      <c r="AC44" s="298"/>
      <c r="AF44" s="74"/>
    </row>
    <row r="45" spans="4:32" ht="30" customHeight="1">
      <c r="D45" s="297">
        <v>15</v>
      </c>
      <c r="E45" s="251" t="s">
        <v>185</v>
      </c>
      <c r="F45" s="50" t="s">
        <v>95</v>
      </c>
      <c r="G45" s="51">
        <v>15</v>
      </c>
      <c r="H45" s="143">
        <f>I45/15</f>
        <v>133.66666666666666</v>
      </c>
      <c r="I45" s="53">
        <v>2005</v>
      </c>
      <c r="J45" s="54">
        <v>0</v>
      </c>
      <c r="K45" s="55">
        <f>TRUNC(SUM(G45*H45)+J45,2)</f>
        <v>2005</v>
      </c>
      <c r="L45" s="56"/>
      <c r="M45" s="57">
        <v>0</v>
      </c>
      <c r="N45" s="57">
        <f>K45+M45</f>
        <v>2005</v>
      </c>
      <c r="O45" s="57">
        <f t="shared" si="4"/>
        <v>244.81</v>
      </c>
      <c r="P45" s="57">
        <f t="shared" si="5"/>
        <v>1760.19</v>
      </c>
      <c r="Q45" s="58">
        <f t="shared" si="6"/>
        <v>6.4000000000000001E-2</v>
      </c>
      <c r="R45" s="57">
        <f t="shared" si="7"/>
        <v>112.65216000000001</v>
      </c>
      <c r="S45" s="57">
        <f t="shared" si="8"/>
        <v>4.6500000000000004</v>
      </c>
      <c r="T45" s="57">
        <f t="shared" si="9"/>
        <v>117.30216000000001</v>
      </c>
      <c r="U45" s="57">
        <f t="shared" si="10"/>
        <v>188.7</v>
      </c>
      <c r="V45" s="57">
        <f t="shared" si="11"/>
        <v>-71.397839999999974</v>
      </c>
      <c r="W45" s="59"/>
      <c r="X45" s="55">
        <f t="shared" si="12"/>
        <v>71.397839999999974</v>
      </c>
      <c r="Y45" s="60"/>
      <c r="Z45" s="61">
        <v>0</v>
      </c>
      <c r="AA45" s="55">
        <f>SUM(Y45:Z45)</f>
        <v>0</v>
      </c>
      <c r="AB45" s="62">
        <f>K45+X45-AA45</f>
        <v>2076.3978400000001</v>
      </c>
      <c r="AC45" s="298"/>
    </row>
    <row r="46" spans="4:32" ht="30" customHeight="1">
      <c r="D46" s="297">
        <v>16</v>
      </c>
      <c r="E46" s="251" t="s">
        <v>167</v>
      </c>
      <c r="F46" s="50" t="s">
        <v>125</v>
      </c>
      <c r="G46" s="51">
        <v>15</v>
      </c>
      <c r="H46" s="143">
        <f>I46/15</f>
        <v>133.66666666666666</v>
      </c>
      <c r="I46" s="53">
        <v>2005</v>
      </c>
      <c r="J46" s="54">
        <v>0</v>
      </c>
      <c r="K46" s="55">
        <f>TRUNC(SUM(G46*H46)+J46,2)</f>
        <v>2005</v>
      </c>
      <c r="L46" s="56"/>
      <c r="M46" s="57">
        <v>0</v>
      </c>
      <c r="N46" s="57">
        <f>K46+M46</f>
        <v>2005</v>
      </c>
      <c r="O46" s="57">
        <f t="shared" si="4"/>
        <v>244.81</v>
      </c>
      <c r="P46" s="57">
        <f t="shared" si="5"/>
        <v>1760.19</v>
      </c>
      <c r="Q46" s="58">
        <f t="shared" si="6"/>
        <v>6.4000000000000001E-2</v>
      </c>
      <c r="R46" s="57">
        <f t="shared" si="7"/>
        <v>112.65216000000001</v>
      </c>
      <c r="S46" s="57">
        <f t="shared" si="8"/>
        <v>4.6500000000000004</v>
      </c>
      <c r="T46" s="57">
        <f t="shared" si="9"/>
        <v>117.30216000000001</v>
      </c>
      <c r="U46" s="57">
        <f t="shared" si="10"/>
        <v>188.7</v>
      </c>
      <c r="V46" s="57">
        <f t="shared" si="11"/>
        <v>-71.397839999999974</v>
      </c>
      <c r="W46" s="59"/>
      <c r="X46" s="55">
        <f t="shared" si="12"/>
        <v>71.397839999999974</v>
      </c>
      <c r="Y46" s="60">
        <f>IF(V46&lt;0,0,V46)</f>
        <v>0</v>
      </c>
      <c r="Z46" s="61">
        <v>0</v>
      </c>
      <c r="AA46" s="55">
        <f>SUM(Y46:Z46)</f>
        <v>0</v>
      </c>
      <c r="AB46" s="62">
        <f>K46+X46-AA46</f>
        <v>2076.3978400000001</v>
      </c>
      <c r="AC46" s="298"/>
    </row>
    <row r="47" spans="4:32" ht="30" customHeight="1">
      <c r="D47" s="297">
        <v>17</v>
      </c>
      <c r="E47" s="251" t="s">
        <v>223</v>
      </c>
      <c r="F47" s="50" t="s">
        <v>95</v>
      </c>
      <c r="G47" s="51">
        <v>15</v>
      </c>
      <c r="H47" s="143">
        <f t="shared" si="1"/>
        <v>133.66666666666666</v>
      </c>
      <c r="I47" s="53">
        <v>2005</v>
      </c>
      <c r="J47" s="54">
        <v>0</v>
      </c>
      <c r="K47" s="55">
        <f t="shared" si="2"/>
        <v>2005</v>
      </c>
      <c r="L47" s="56"/>
      <c r="M47" s="57">
        <v>0</v>
      </c>
      <c r="N47" s="57">
        <f t="shared" si="3"/>
        <v>2005</v>
      </c>
      <c r="O47" s="57">
        <f t="shared" si="4"/>
        <v>244.81</v>
      </c>
      <c r="P47" s="57">
        <f t="shared" si="5"/>
        <v>1760.19</v>
      </c>
      <c r="Q47" s="58">
        <f t="shared" si="6"/>
        <v>6.4000000000000001E-2</v>
      </c>
      <c r="R47" s="57">
        <f t="shared" si="7"/>
        <v>112.65216000000001</v>
      </c>
      <c r="S47" s="57">
        <f t="shared" si="8"/>
        <v>4.6500000000000004</v>
      </c>
      <c r="T47" s="57">
        <f t="shared" si="9"/>
        <v>117.30216000000001</v>
      </c>
      <c r="U47" s="57">
        <f t="shared" si="10"/>
        <v>188.7</v>
      </c>
      <c r="V47" s="57">
        <f t="shared" si="11"/>
        <v>-71.397839999999974</v>
      </c>
      <c r="W47" s="59"/>
      <c r="X47" s="55">
        <f t="shared" ref="X47:X57" si="15">-IF(V47&gt;0,0,V47)</f>
        <v>71.397839999999974</v>
      </c>
      <c r="Y47" s="60">
        <f t="shared" ref="Y47:Y57" si="16">IF(V47&lt;0,0,V47)</f>
        <v>0</v>
      </c>
      <c r="Z47" s="61">
        <v>0</v>
      </c>
      <c r="AA47" s="55">
        <f t="shared" si="13"/>
        <v>0</v>
      </c>
      <c r="AB47" s="62">
        <f t="shared" si="14"/>
        <v>2076.3978400000001</v>
      </c>
      <c r="AC47" s="298"/>
    </row>
    <row r="48" spans="4:32" ht="30" customHeight="1">
      <c r="D48" s="297">
        <v>18</v>
      </c>
      <c r="E48" s="251" t="s">
        <v>192</v>
      </c>
      <c r="F48" s="50" t="s">
        <v>95</v>
      </c>
      <c r="G48" s="51">
        <v>15</v>
      </c>
      <c r="H48" s="143">
        <f t="shared" si="1"/>
        <v>185.66666666666666</v>
      </c>
      <c r="I48" s="53">
        <v>2785</v>
      </c>
      <c r="J48" s="54">
        <v>0</v>
      </c>
      <c r="K48" s="55">
        <f t="shared" si="2"/>
        <v>2785</v>
      </c>
      <c r="L48" s="56"/>
      <c r="M48" s="57">
        <v>0</v>
      </c>
      <c r="N48" s="57">
        <f t="shared" si="3"/>
        <v>2785</v>
      </c>
      <c r="O48" s="57">
        <f t="shared" si="4"/>
        <v>2077.5100000000002</v>
      </c>
      <c r="P48" s="57">
        <f t="shared" si="5"/>
        <v>707.48999999999978</v>
      </c>
      <c r="Q48" s="58">
        <f t="shared" si="6"/>
        <v>0.10879999999999999</v>
      </c>
      <c r="R48" s="57">
        <f t="shared" si="7"/>
        <v>76.974911999999975</v>
      </c>
      <c r="S48" s="57">
        <f t="shared" si="8"/>
        <v>121.95</v>
      </c>
      <c r="T48" s="57">
        <f t="shared" si="9"/>
        <v>198.92491199999998</v>
      </c>
      <c r="U48" s="57">
        <f t="shared" si="10"/>
        <v>145.35</v>
      </c>
      <c r="V48" s="57">
        <f t="shared" si="11"/>
        <v>53.574911999999983</v>
      </c>
      <c r="W48" s="59"/>
      <c r="X48" s="55">
        <f t="shared" si="15"/>
        <v>0</v>
      </c>
      <c r="Y48" s="60">
        <f t="shared" si="16"/>
        <v>53.574911999999983</v>
      </c>
      <c r="Z48" s="61">
        <v>0</v>
      </c>
      <c r="AA48" s="55">
        <f t="shared" si="13"/>
        <v>53.574911999999983</v>
      </c>
      <c r="AB48" s="62">
        <f t="shared" si="14"/>
        <v>2731.425088</v>
      </c>
      <c r="AC48" s="298"/>
      <c r="AF48" s="74"/>
    </row>
    <row r="49" spans="2:255" ht="30" customHeight="1">
      <c r="D49" s="297">
        <v>19</v>
      </c>
      <c r="E49" s="251" t="s">
        <v>224</v>
      </c>
      <c r="F49" s="50" t="s">
        <v>95</v>
      </c>
      <c r="G49" s="51">
        <v>15</v>
      </c>
      <c r="H49" s="143">
        <f t="shared" si="1"/>
        <v>121.8</v>
      </c>
      <c r="I49" s="53">
        <v>1827</v>
      </c>
      <c r="J49" s="54">
        <v>0</v>
      </c>
      <c r="K49" s="55">
        <f t="shared" si="2"/>
        <v>1827</v>
      </c>
      <c r="L49" s="56"/>
      <c r="M49" s="57">
        <v>0</v>
      </c>
      <c r="N49" s="57">
        <f t="shared" si="3"/>
        <v>1827</v>
      </c>
      <c r="O49" s="57">
        <f t="shared" si="4"/>
        <v>244.81</v>
      </c>
      <c r="P49" s="57">
        <f t="shared" si="5"/>
        <v>1582.19</v>
      </c>
      <c r="Q49" s="58">
        <f t="shared" si="6"/>
        <v>6.4000000000000001E-2</v>
      </c>
      <c r="R49" s="57">
        <f t="shared" si="7"/>
        <v>101.26016</v>
      </c>
      <c r="S49" s="57">
        <f t="shared" si="8"/>
        <v>4.6500000000000004</v>
      </c>
      <c r="T49" s="57">
        <f t="shared" si="9"/>
        <v>105.91016</v>
      </c>
      <c r="U49" s="57">
        <f t="shared" si="10"/>
        <v>188.7</v>
      </c>
      <c r="V49" s="57">
        <f t="shared" si="11"/>
        <v>-82.789839999999984</v>
      </c>
      <c r="W49" s="59"/>
      <c r="X49" s="55">
        <f t="shared" si="15"/>
        <v>82.789839999999984</v>
      </c>
      <c r="Y49" s="60">
        <f t="shared" si="16"/>
        <v>0</v>
      </c>
      <c r="Z49" s="61">
        <v>0</v>
      </c>
      <c r="AA49" s="55">
        <f t="shared" si="13"/>
        <v>0</v>
      </c>
      <c r="AB49" s="62">
        <f t="shared" si="14"/>
        <v>1909.7898399999999</v>
      </c>
      <c r="AC49" s="298"/>
      <c r="AF49" s="74"/>
    </row>
    <row r="50" spans="2:255" ht="30" customHeight="1">
      <c r="D50" s="297">
        <v>20</v>
      </c>
      <c r="E50" s="251" t="s">
        <v>220</v>
      </c>
      <c r="F50" s="50" t="s">
        <v>95</v>
      </c>
      <c r="G50" s="51">
        <v>15</v>
      </c>
      <c r="H50" s="143">
        <f t="shared" si="1"/>
        <v>139.19999999999999</v>
      </c>
      <c r="I50" s="53">
        <v>2088</v>
      </c>
      <c r="J50" s="54">
        <v>0</v>
      </c>
      <c r="K50" s="55">
        <f t="shared" si="2"/>
        <v>2088</v>
      </c>
      <c r="L50" s="56"/>
      <c r="M50" s="57">
        <v>0</v>
      </c>
      <c r="N50" s="57">
        <f t="shared" si="3"/>
        <v>2088</v>
      </c>
      <c r="O50" s="57">
        <f t="shared" si="4"/>
        <v>2077.5100000000002</v>
      </c>
      <c r="P50" s="57">
        <f t="shared" si="5"/>
        <v>10.489999999999782</v>
      </c>
      <c r="Q50" s="58">
        <f t="shared" si="6"/>
        <v>0.10879999999999999</v>
      </c>
      <c r="R50" s="57">
        <f t="shared" si="7"/>
        <v>1.1413119999999761</v>
      </c>
      <c r="S50" s="57">
        <f t="shared" si="8"/>
        <v>121.95</v>
      </c>
      <c r="T50" s="57">
        <f t="shared" si="9"/>
        <v>123.09131199999997</v>
      </c>
      <c r="U50" s="57">
        <f t="shared" si="10"/>
        <v>188.7</v>
      </c>
      <c r="V50" s="57">
        <f t="shared" si="11"/>
        <v>-65.608688000000015</v>
      </c>
      <c r="W50" s="59"/>
      <c r="X50" s="55">
        <f t="shared" si="15"/>
        <v>65.608688000000015</v>
      </c>
      <c r="Y50" s="60">
        <f t="shared" si="16"/>
        <v>0</v>
      </c>
      <c r="Z50" s="103">
        <v>0</v>
      </c>
      <c r="AA50" s="55">
        <f t="shared" si="13"/>
        <v>0</v>
      </c>
      <c r="AB50" s="62">
        <f t="shared" si="14"/>
        <v>2153.6086879999998</v>
      </c>
      <c r="AC50" s="298"/>
      <c r="AF50" s="74"/>
    </row>
    <row r="51" spans="2:255" ht="30" customHeight="1">
      <c r="D51" s="297">
        <v>21</v>
      </c>
      <c r="E51" s="253" t="s">
        <v>303</v>
      </c>
      <c r="F51" s="50" t="s">
        <v>95</v>
      </c>
      <c r="G51" s="51">
        <v>15</v>
      </c>
      <c r="H51" s="143">
        <f t="shared" si="1"/>
        <v>125.86666666666666</v>
      </c>
      <c r="I51" s="53">
        <v>1888</v>
      </c>
      <c r="J51" s="54">
        <v>0</v>
      </c>
      <c r="K51" s="55">
        <f t="shared" si="2"/>
        <v>1888</v>
      </c>
      <c r="L51" s="56"/>
      <c r="M51" s="57"/>
      <c r="N51" s="57"/>
      <c r="O51" s="57"/>
      <c r="P51" s="57"/>
      <c r="Q51" s="58"/>
      <c r="R51" s="57"/>
      <c r="S51" s="57"/>
      <c r="T51" s="57"/>
      <c r="U51" s="57"/>
      <c r="V51" s="57"/>
      <c r="W51" s="59"/>
      <c r="X51" s="55">
        <v>82.39</v>
      </c>
      <c r="Y51" s="60">
        <f t="shared" si="16"/>
        <v>0</v>
      </c>
      <c r="Z51" s="103">
        <v>0</v>
      </c>
      <c r="AA51" s="55">
        <f t="shared" si="13"/>
        <v>0</v>
      </c>
      <c r="AB51" s="62">
        <f t="shared" si="14"/>
        <v>1970.39</v>
      </c>
      <c r="AC51" s="298"/>
      <c r="AF51" s="74"/>
    </row>
    <row r="52" spans="2:255" ht="30" customHeight="1">
      <c r="D52" s="297">
        <v>22</v>
      </c>
      <c r="E52" s="251" t="s">
        <v>218</v>
      </c>
      <c r="F52" s="50" t="s">
        <v>95</v>
      </c>
      <c r="G52" s="51">
        <v>15</v>
      </c>
      <c r="H52" s="143">
        <f t="shared" si="1"/>
        <v>125.86666666666666</v>
      </c>
      <c r="I52" s="53">
        <v>1888</v>
      </c>
      <c r="J52" s="54">
        <v>0</v>
      </c>
      <c r="K52" s="55">
        <f t="shared" si="2"/>
        <v>1888</v>
      </c>
      <c r="L52" s="56"/>
      <c r="M52" s="57">
        <v>0</v>
      </c>
      <c r="N52" s="57">
        <f t="shared" si="3"/>
        <v>1888</v>
      </c>
      <c r="O52" s="57">
        <f>VLOOKUP(N52,Tarifa1,1)</f>
        <v>244.81</v>
      </c>
      <c r="P52" s="57">
        <f t="shared" ref="P52:P58" si="17">N52-O52</f>
        <v>1643.19</v>
      </c>
      <c r="Q52" s="58">
        <f>VLOOKUP(N52,Tarifa1,3)</f>
        <v>6.4000000000000001E-2</v>
      </c>
      <c r="R52" s="57">
        <f t="shared" ref="R52:R58" si="18">P52*Q52</f>
        <v>105.16416000000001</v>
      </c>
      <c r="S52" s="57">
        <f>VLOOKUP(N52,Tarifa1,2)</f>
        <v>4.6500000000000004</v>
      </c>
      <c r="T52" s="57">
        <f t="shared" ref="T52:T58" si="19">R52+S52</f>
        <v>109.81416000000002</v>
      </c>
      <c r="U52" s="57">
        <f>VLOOKUP(N52,Credito1,2)</f>
        <v>188.7</v>
      </c>
      <c r="V52" s="57">
        <f t="shared" ref="V52:V58" si="20">T52-U52</f>
        <v>-78.885839999999973</v>
      </c>
      <c r="W52" s="59"/>
      <c r="X52" s="55">
        <f t="shared" si="15"/>
        <v>78.885839999999973</v>
      </c>
      <c r="Y52" s="60">
        <f t="shared" si="16"/>
        <v>0</v>
      </c>
      <c r="Z52" s="61">
        <v>0</v>
      </c>
      <c r="AA52" s="55">
        <f t="shared" si="13"/>
        <v>0</v>
      </c>
      <c r="AB52" s="62">
        <f t="shared" si="14"/>
        <v>1966.8858399999999</v>
      </c>
      <c r="AC52" s="298"/>
    </row>
    <row r="53" spans="2:255" ht="30" customHeight="1">
      <c r="B53" s="104"/>
      <c r="C53" s="288"/>
      <c r="D53" s="297">
        <v>23</v>
      </c>
      <c r="E53" s="254" t="s">
        <v>232</v>
      </c>
      <c r="F53" s="50" t="s">
        <v>101</v>
      </c>
      <c r="G53" s="51">
        <v>15</v>
      </c>
      <c r="H53" s="143">
        <f t="shared" si="1"/>
        <v>174.26666666666668</v>
      </c>
      <c r="I53" s="53">
        <v>2614</v>
      </c>
      <c r="J53" s="54">
        <v>0</v>
      </c>
      <c r="K53" s="55">
        <f t="shared" si="2"/>
        <v>2614</v>
      </c>
      <c r="L53" s="56"/>
      <c r="M53" s="57">
        <v>0</v>
      </c>
      <c r="N53" s="57">
        <f t="shared" si="3"/>
        <v>2614</v>
      </c>
      <c r="O53" s="57">
        <f>VLOOKUP(N53,Tarifa1,1)</f>
        <v>2077.5100000000002</v>
      </c>
      <c r="P53" s="57">
        <f t="shared" si="17"/>
        <v>536.48999999999978</v>
      </c>
      <c r="Q53" s="58">
        <f>VLOOKUP(N53,Tarifa1,3)</f>
        <v>0.10879999999999999</v>
      </c>
      <c r="R53" s="57">
        <f t="shared" si="18"/>
        <v>58.37011199999997</v>
      </c>
      <c r="S53" s="57">
        <f>VLOOKUP(N53,Tarifa1,2)</f>
        <v>121.95</v>
      </c>
      <c r="T53" s="57">
        <f t="shared" si="19"/>
        <v>180.32011199999997</v>
      </c>
      <c r="U53" s="57">
        <f>VLOOKUP(N53,Credito1,2)</f>
        <v>160.35</v>
      </c>
      <c r="V53" s="57">
        <f t="shared" si="20"/>
        <v>19.970111999999972</v>
      </c>
      <c r="W53" s="59"/>
      <c r="X53" s="55">
        <f t="shared" si="15"/>
        <v>0</v>
      </c>
      <c r="Y53" s="60">
        <f t="shared" si="16"/>
        <v>19.970111999999972</v>
      </c>
      <c r="Z53" s="61">
        <v>0</v>
      </c>
      <c r="AA53" s="55">
        <f t="shared" si="13"/>
        <v>19.970111999999972</v>
      </c>
      <c r="AB53" s="62">
        <f t="shared" si="14"/>
        <v>2594.029888</v>
      </c>
      <c r="AC53" s="315"/>
      <c r="AD53" s="289"/>
      <c r="AE53" s="104"/>
      <c r="AF53" s="258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104"/>
      <c r="DF53" s="104"/>
      <c r="DG53" s="104"/>
      <c r="DH53" s="104"/>
      <c r="DI53" s="104"/>
      <c r="DJ53" s="104"/>
      <c r="DK53" s="104"/>
      <c r="DL53" s="104"/>
      <c r="DM53" s="104"/>
      <c r="DN53" s="104"/>
      <c r="DO53" s="104"/>
      <c r="DP53" s="104"/>
      <c r="DQ53" s="104"/>
      <c r="DR53" s="104"/>
      <c r="DS53" s="104"/>
      <c r="DT53" s="104"/>
      <c r="DU53" s="104"/>
      <c r="DV53" s="104"/>
      <c r="DW53" s="104"/>
      <c r="DX53" s="104"/>
      <c r="DY53" s="104"/>
      <c r="DZ53" s="104"/>
      <c r="EA53" s="104"/>
      <c r="EB53" s="104"/>
      <c r="EC53" s="104"/>
      <c r="ED53" s="104"/>
      <c r="EE53" s="104"/>
      <c r="EF53" s="104"/>
      <c r="EG53" s="104"/>
      <c r="EH53" s="104"/>
      <c r="EI53" s="104"/>
      <c r="EJ53" s="104"/>
      <c r="EK53" s="104"/>
      <c r="EL53" s="104"/>
      <c r="EM53" s="104"/>
      <c r="EN53" s="104"/>
      <c r="EO53" s="104"/>
      <c r="EP53" s="104"/>
      <c r="EQ53" s="104"/>
      <c r="ER53" s="104"/>
      <c r="ES53" s="104"/>
      <c r="ET53" s="104"/>
      <c r="EU53" s="104"/>
      <c r="EV53" s="104"/>
      <c r="EW53" s="104"/>
      <c r="EX53" s="104"/>
      <c r="EY53" s="104"/>
      <c r="EZ53" s="104"/>
      <c r="FA53" s="104"/>
      <c r="FB53" s="104"/>
      <c r="FC53" s="104"/>
      <c r="FD53" s="104"/>
      <c r="FE53" s="104"/>
      <c r="FF53" s="104"/>
      <c r="FG53" s="104"/>
      <c r="FH53" s="104"/>
      <c r="FI53" s="104"/>
      <c r="FJ53" s="104"/>
      <c r="FK53" s="104"/>
      <c r="FL53" s="104"/>
      <c r="FM53" s="104"/>
      <c r="FN53" s="104"/>
      <c r="FO53" s="104"/>
      <c r="FP53" s="104"/>
      <c r="FQ53" s="104"/>
      <c r="FR53" s="104"/>
      <c r="FS53" s="104"/>
      <c r="FT53" s="104"/>
      <c r="FU53" s="104"/>
      <c r="FV53" s="104"/>
      <c r="FW53" s="104"/>
      <c r="FX53" s="104"/>
      <c r="FY53" s="104"/>
      <c r="FZ53" s="104"/>
      <c r="GA53" s="104"/>
      <c r="GB53" s="104"/>
      <c r="GC53" s="104"/>
      <c r="GD53" s="104"/>
      <c r="GE53" s="104"/>
      <c r="GF53" s="104"/>
      <c r="GG53" s="104"/>
      <c r="GH53" s="104"/>
      <c r="GI53" s="104"/>
      <c r="GJ53" s="104"/>
      <c r="GK53" s="104"/>
      <c r="GL53" s="104"/>
      <c r="GM53" s="104"/>
      <c r="GN53" s="104"/>
      <c r="GO53" s="104"/>
      <c r="GP53" s="104"/>
      <c r="GQ53" s="104"/>
      <c r="GR53" s="104"/>
      <c r="GS53" s="104"/>
      <c r="GT53" s="104"/>
      <c r="GU53" s="104"/>
      <c r="GV53" s="104"/>
      <c r="GW53" s="104"/>
      <c r="GX53" s="104"/>
      <c r="GY53" s="104"/>
      <c r="GZ53" s="104"/>
      <c r="HA53" s="104"/>
      <c r="HB53" s="104"/>
      <c r="HC53" s="104"/>
      <c r="HD53" s="104"/>
      <c r="HE53" s="104"/>
      <c r="HF53" s="104"/>
      <c r="HG53" s="104"/>
      <c r="HH53" s="104"/>
      <c r="HI53" s="104"/>
      <c r="HJ53" s="104"/>
      <c r="HK53" s="104"/>
      <c r="HL53" s="104"/>
      <c r="HM53" s="104"/>
      <c r="HN53" s="104"/>
      <c r="HO53" s="104"/>
      <c r="HP53" s="104"/>
      <c r="HQ53" s="104"/>
      <c r="HR53" s="104"/>
      <c r="HS53" s="104"/>
      <c r="HT53" s="104"/>
      <c r="HU53" s="104"/>
      <c r="HV53" s="104"/>
      <c r="HW53" s="104"/>
      <c r="HX53" s="104"/>
      <c r="HY53" s="104"/>
      <c r="HZ53" s="104"/>
      <c r="IA53" s="104"/>
      <c r="IB53" s="104"/>
      <c r="IC53" s="104"/>
      <c r="ID53" s="104"/>
      <c r="IE53" s="104"/>
      <c r="IF53" s="104"/>
      <c r="IG53" s="104"/>
      <c r="IH53" s="104"/>
      <c r="II53" s="104"/>
      <c r="IJ53" s="104"/>
      <c r="IK53" s="104"/>
      <c r="IL53" s="104"/>
      <c r="IM53" s="104"/>
      <c r="IN53" s="104"/>
      <c r="IO53" s="104"/>
      <c r="IP53" s="104"/>
      <c r="IQ53" s="104"/>
      <c r="IR53" s="104"/>
      <c r="IS53" s="104"/>
      <c r="IT53" s="104"/>
      <c r="IU53" s="104"/>
    </row>
    <row r="54" spans="2:255" ht="30" customHeight="1">
      <c r="D54" s="297">
        <v>24</v>
      </c>
      <c r="E54" s="251" t="s">
        <v>189</v>
      </c>
      <c r="F54" s="50" t="s">
        <v>99</v>
      </c>
      <c r="G54" s="51">
        <v>15</v>
      </c>
      <c r="H54" s="143">
        <f t="shared" si="1"/>
        <v>90.2</v>
      </c>
      <c r="I54" s="53">
        <v>1353</v>
      </c>
      <c r="J54" s="54">
        <v>0</v>
      </c>
      <c r="K54" s="55">
        <f>TRUNC(SUM(G54*H54)+J54,2)</f>
        <v>1353</v>
      </c>
      <c r="L54" s="56"/>
      <c r="M54" s="57">
        <v>0</v>
      </c>
      <c r="N54" s="57">
        <f t="shared" si="3"/>
        <v>1353</v>
      </c>
      <c r="O54" s="57">
        <f>VLOOKUP(N54,Tarifa1,1)</f>
        <v>244.81</v>
      </c>
      <c r="P54" s="57">
        <f t="shared" si="17"/>
        <v>1108.19</v>
      </c>
      <c r="Q54" s="58">
        <f>VLOOKUP(N54,Tarifa1,3)</f>
        <v>6.4000000000000001E-2</v>
      </c>
      <c r="R54" s="57">
        <f t="shared" si="18"/>
        <v>70.924160000000001</v>
      </c>
      <c r="S54" s="57">
        <f>VLOOKUP(N54,Tarifa1,2)</f>
        <v>4.6500000000000004</v>
      </c>
      <c r="T54" s="57">
        <f t="shared" si="19"/>
        <v>75.574160000000006</v>
      </c>
      <c r="U54" s="57">
        <f>VLOOKUP(N54,Credito1,2)</f>
        <v>200.7</v>
      </c>
      <c r="V54" s="57">
        <f t="shared" si="20"/>
        <v>-125.12583999999998</v>
      </c>
      <c r="W54" s="59"/>
      <c r="X54" s="55">
        <f t="shared" si="15"/>
        <v>125.12583999999998</v>
      </c>
      <c r="Y54" s="60">
        <f t="shared" si="16"/>
        <v>0</v>
      </c>
      <c r="Z54" s="61">
        <v>0</v>
      </c>
      <c r="AA54" s="55">
        <f t="shared" si="13"/>
        <v>0</v>
      </c>
      <c r="AB54" s="62">
        <f t="shared" si="14"/>
        <v>1478.1258399999999</v>
      </c>
      <c r="AC54" s="298"/>
      <c r="AE54" s="259"/>
      <c r="AF54" s="260"/>
    </row>
    <row r="55" spans="2:255" ht="30" customHeight="1">
      <c r="D55" s="297">
        <v>25</v>
      </c>
      <c r="E55" s="251" t="s">
        <v>190</v>
      </c>
      <c r="F55" s="50" t="s">
        <v>99</v>
      </c>
      <c r="G55" s="51">
        <v>15</v>
      </c>
      <c r="H55" s="143">
        <f t="shared" si="1"/>
        <v>90.2</v>
      </c>
      <c r="I55" s="53">
        <v>1353</v>
      </c>
      <c r="J55" s="54">
        <v>0</v>
      </c>
      <c r="K55" s="55">
        <f>TRUNC(SUM(G55*H55)+J55,2)</f>
        <v>1353</v>
      </c>
      <c r="L55" s="56"/>
      <c r="M55" s="57">
        <v>0</v>
      </c>
      <c r="N55" s="57">
        <f t="shared" si="3"/>
        <v>1353</v>
      </c>
      <c r="O55" s="57">
        <f>VLOOKUP(N55,Tarifa1,1)</f>
        <v>244.81</v>
      </c>
      <c r="P55" s="57">
        <f t="shared" si="17"/>
        <v>1108.19</v>
      </c>
      <c r="Q55" s="58">
        <f>VLOOKUP(N55,Tarifa1,3)</f>
        <v>6.4000000000000001E-2</v>
      </c>
      <c r="R55" s="57">
        <f t="shared" si="18"/>
        <v>70.924160000000001</v>
      </c>
      <c r="S55" s="57">
        <f>VLOOKUP(N55,Tarifa1,2)</f>
        <v>4.6500000000000004</v>
      </c>
      <c r="T55" s="57">
        <f t="shared" si="19"/>
        <v>75.574160000000006</v>
      </c>
      <c r="U55" s="57">
        <f>VLOOKUP(N55,Credito1,2)</f>
        <v>200.7</v>
      </c>
      <c r="V55" s="57">
        <f t="shared" si="20"/>
        <v>-125.12583999999998</v>
      </c>
      <c r="W55" s="59"/>
      <c r="X55" s="55">
        <f t="shared" si="15"/>
        <v>125.12583999999998</v>
      </c>
      <c r="Y55" s="60">
        <f t="shared" si="16"/>
        <v>0</v>
      </c>
      <c r="Z55" s="61">
        <v>0</v>
      </c>
      <c r="AA55" s="55">
        <f t="shared" si="13"/>
        <v>0</v>
      </c>
      <c r="AB55" s="62">
        <f t="shared" si="14"/>
        <v>1478.1258399999999</v>
      </c>
      <c r="AC55" s="298"/>
    </row>
    <row r="56" spans="2:255" ht="30" customHeight="1">
      <c r="D56" s="297">
        <v>26</v>
      </c>
      <c r="E56" s="251" t="s">
        <v>127</v>
      </c>
      <c r="F56" s="50" t="s">
        <v>176</v>
      </c>
      <c r="G56" s="51">
        <v>15</v>
      </c>
      <c r="H56" s="143">
        <f t="shared" si="1"/>
        <v>106.93333333333334</v>
      </c>
      <c r="I56" s="53">
        <v>1604</v>
      </c>
      <c r="J56" s="54">
        <v>0</v>
      </c>
      <c r="K56" s="55">
        <f>TRUNC(SUM(G56*H56)+J56,2)</f>
        <v>1604</v>
      </c>
      <c r="L56" s="56"/>
      <c r="M56" s="57">
        <v>0</v>
      </c>
      <c r="N56" s="57">
        <f t="shared" si="3"/>
        <v>1604</v>
      </c>
      <c r="O56" s="57">
        <f>VLOOKUP(N56,Tarifa1,1)</f>
        <v>244.81</v>
      </c>
      <c r="P56" s="57">
        <f t="shared" si="17"/>
        <v>1359.19</v>
      </c>
      <c r="Q56" s="58">
        <f>VLOOKUP(N56,Tarifa1,3)</f>
        <v>6.4000000000000001E-2</v>
      </c>
      <c r="R56" s="57">
        <f t="shared" si="18"/>
        <v>86.988160000000008</v>
      </c>
      <c r="S56" s="57">
        <f>VLOOKUP(N56,Tarifa1,2)</f>
        <v>4.6500000000000004</v>
      </c>
      <c r="T56" s="57">
        <f t="shared" si="19"/>
        <v>91.638160000000013</v>
      </c>
      <c r="U56" s="57">
        <f>VLOOKUP(N56,Credito1,2)</f>
        <v>200.7</v>
      </c>
      <c r="V56" s="57">
        <f t="shared" si="20"/>
        <v>-109.06183999999998</v>
      </c>
      <c r="W56" s="59"/>
      <c r="X56" s="55">
        <f t="shared" si="15"/>
        <v>109.06183999999998</v>
      </c>
      <c r="Y56" s="60">
        <f t="shared" si="16"/>
        <v>0</v>
      </c>
      <c r="Z56" s="61">
        <v>0</v>
      </c>
      <c r="AA56" s="55">
        <f t="shared" si="13"/>
        <v>0</v>
      </c>
      <c r="AB56" s="62">
        <f t="shared" si="14"/>
        <v>1713.0618400000001</v>
      </c>
      <c r="AC56" s="298"/>
      <c r="AF56" s="74"/>
    </row>
    <row r="57" spans="2:255" ht="30" customHeight="1">
      <c r="D57" s="297">
        <v>27</v>
      </c>
      <c r="E57" s="251" t="s">
        <v>233</v>
      </c>
      <c r="F57" s="50" t="s">
        <v>234</v>
      </c>
      <c r="G57" s="51">
        <v>15</v>
      </c>
      <c r="H57" s="143">
        <f t="shared" si="1"/>
        <v>133.66666666666666</v>
      </c>
      <c r="I57" s="262">
        <v>2005</v>
      </c>
      <c r="J57" s="263">
        <v>0</v>
      </c>
      <c r="K57" s="200">
        <f>TRUNC(SUM(G57*H57)+J57,2)</f>
        <v>2005</v>
      </c>
      <c r="L57" s="56"/>
      <c r="M57" s="264">
        <v>0</v>
      </c>
      <c r="N57" s="264">
        <f t="shared" si="3"/>
        <v>2005</v>
      </c>
      <c r="O57" s="264">
        <f>IF(K57=0,0,VLOOKUP(N57,Tarifa1,1))</f>
        <v>244.81</v>
      </c>
      <c r="P57" s="264">
        <f t="shared" si="17"/>
        <v>1760.19</v>
      </c>
      <c r="Q57" s="265">
        <f>IF(K57=0,0,VLOOKUP(N57,Tarifa1,3))</f>
        <v>6.4000000000000001E-2</v>
      </c>
      <c r="R57" s="264">
        <f t="shared" si="18"/>
        <v>112.65216000000001</v>
      </c>
      <c r="S57" s="264">
        <f>IF(K57=0,0,VLOOKUP(N57,Tarifa1,2))</f>
        <v>4.6500000000000004</v>
      </c>
      <c r="T57" s="264">
        <f t="shared" si="19"/>
        <v>117.30216000000001</v>
      </c>
      <c r="U57" s="264">
        <f>IF(K57=0,0,VLOOKUP(N57,Credito1,2))</f>
        <v>188.7</v>
      </c>
      <c r="V57" s="264">
        <f t="shared" si="20"/>
        <v>-71.397839999999974</v>
      </c>
      <c r="W57" s="59"/>
      <c r="X57" s="200">
        <f t="shared" si="15"/>
        <v>71.397839999999974</v>
      </c>
      <c r="Y57" s="266">
        <f t="shared" si="16"/>
        <v>0</v>
      </c>
      <c r="Z57" s="267">
        <v>0</v>
      </c>
      <c r="AA57" s="200">
        <f t="shared" si="13"/>
        <v>0</v>
      </c>
      <c r="AB57" s="219">
        <f t="shared" si="14"/>
        <v>2076.3978400000001</v>
      </c>
      <c r="AC57" s="298"/>
      <c r="AF57" s="74"/>
    </row>
    <row r="58" spans="2:255" ht="30" customHeight="1">
      <c r="D58" s="297">
        <v>28</v>
      </c>
      <c r="E58" s="251" t="s">
        <v>311</v>
      </c>
      <c r="F58" s="50" t="s">
        <v>308</v>
      </c>
      <c r="G58" s="51"/>
      <c r="H58" s="261"/>
      <c r="I58" s="268">
        <v>1840</v>
      </c>
      <c r="J58" s="269">
        <v>0</v>
      </c>
      <c r="K58" s="270">
        <v>1840</v>
      </c>
      <c r="L58" s="271"/>
      <c r="M58" s="272">
        <v>0</v>
      </c>
      <c r="N58" s="272">
        <f>K58+M58</f>
        <v>1840</v>
      </c>
      <c r="O58" s="272">
        <f>VLOOKUP(N58,Tarifa1,1)</f>
        <v>244.81</v>
      </c>
      <c r="P58" s="272">
        <f t="shared" si="17"/>
        <v>1595.19</v>
      </c>
      <c r="Q58" s="273">
        <f>VLOOKUP(N58,Tarifa1,3)</f>
        <v>6.4000000000000001E-2</v>
      </c>
      <c r="R58" s="272">
        <f t="shared" si="18"/>
        <v>102.09216000000001</v>
      </c>
      <c r="S58" s="272">
        <f>VLOOKUP(N58,Tarifa1,2)</f>
        <v>4.6500000000000004</v>
      </c>
      <c r="T58" s="272">
        <f t="shared" si="19"/>
        <v>106.74216000000001</v>
      </c>
      <c r="U58" s="272">
        <f>VLOOKUP(N58,Credito1,2)</f>
        <v>188.7</v>
      </c>
      <c r="V58" s="272">
        <f t="shared" si="20"/>
        <v>-81.957839999999976</v>
      </c>
      <c r="W58" s="274"/>
      <c r="X58" s="275">
        <v>78.569999999999993</v>
      </c>
      <c r="Y58" s="276">
        <v>0</v>
      </c>
      <c r="Z58" s="277">
        <v>0</v>
      </c>
      <c r="AA58" s="270">
        <f>SUM(Y58:Z58)</f>
        <v>0</v>
      </c>
      <c r="AB58" s="278">
        <f>K58+X58-AA58</f>
        <v>1918.57</v>
      </c>
      <c r="AC58" s="316"/>
      <c r="AF58" s="74"/>
    </row>
    <row r="59" spans="2:255" ht="30" customHeight="1">
      <c r="D59" s="297"/>
      <c r="E59" s="252" t="s">
        <v>128</v>
      </c>
      <c r="F59" s="50"/>
      <c r="G59" s="51"/>
      <c r="H59" s="52"/>
      <c r="I59" s="53"/>
      <c r="J59" s="54"/>
      <c r="K59" s="55"/>
      <c r="L59" s="317"/>
      <c r="M59" s="57"/>
      <c r="N59" s="57"/>
      <c r="O59" s="57"/>
      <c r="P59" s="57"/>
      <c r="Q59" s="58"/>
      <c r="R59" s="57"/>
      <c r="S59" s="57"/>
      <c r="T59" s="57"/>
      <c r="U59" s="57"/>
      <c r="V59" s="57"/>
      <c r="W59" s="318"/>
      <c r="X59" s="55"/>
      <c r="Y59" s="60"/>
      <c r="Z59" s="61"/>
      <c r="AA59" s="55"/>
      <c r="AB59" s="62"/>
      <c r="AC59" s="319"/>
    </row>
    <row r="60" spans="2:255" ht="30" customHeight="1">
      <c r="D60" s="208">
        <v>29</v>
      </c>
      <c r="E60" s="255" t="s">
        <v>168</v>
      </c>
      <c r="F60" s="209" t="s">
        <v>169</v>
      </c>
      <c r="G60" s="210">
        <v>15</v>
      </c>
      <c r="H60" s="211">
        <f t="shared" si="1"/>
        <v>126.2</v>
      </c>
      <c r="I60" s="212">
        <v>1893</v>
      </c>
      <c r="J60" s="213">
        <v>0</v>
      </c>
      <c r="K60" s="200">
        <v>1893</v>
      </c>
      <c r="L60" s="90"/>
      <c r="M60" s="214">
        <v>0</v>
      </c>
      <c r="N60" s="214">
        <f>K60+M60</f>
        <v>1893</v>
      </c>
      <c r="O60" s="214">
        <f>VLOOKUP(N60,Tarifa1,1)</f>
        <v>244.81</v>
      </c>
      <c r="P60" s="214">
        <f>N60-O60</f>
        <v>1648.19</v>
      </c>
      <c r="Q60" s="215">
        <f>VLOOKUP(N60,Tarifa1,3)</f>
        <v>6.4000000000000001E-2</v>
      </c>
      <c r="R60" s="214">
        <f>P60*Q60</f>
        <v>105.48416</v>
      </c>
      <c r="S60" s="214">
        <f>VLOOKUP(N60,Tarifa1,2)</f>
        <v>4.6500000000000004</v>
      </c>
      <c r="T60" s="214">
        <f>R60+S60</f>
        <v>110.13416000000001</v>
      </c>
      <c r="U60" s="214">
        <f>VLOOKUP(N60,Credito1,2)</f>
        <v>188.7</v>
      </c>
      <c r="V60" s="214">
        <f>T60-U60</f>
        <v>-78.56583999999998</v>
      </c>
      <c r="W60" s="91"/>
      <c r="X60" s="216">
        <v>78.569999999999993</v>
      </c>
      <c r="Y60" s="217">
        <v>0</v>
      </c>
      <c r="Z60" s="218">
        <v>0</v>
      </c>
      <c r="AA60" s="200">
        <f>SUM(Y60:Z60)</f>
        <v>0</v>
      </c>
      <c r="AB60" s="219">
        <f>K60+X60-AA60</f>
        <v>1971.57</v>
      </c>
      <c r="AC60" s="220"/>
      <c r="AF60" s="74"/>
    </row>
    <row r="61" spans="2:255" ht="24.95" customHeight="1">
      <c r="D61" s="227"/>
      <c r="E61" s="106"/>
      <c r="F61" s="106"/>
      <c r="G61" s="228"/>
      <c r="H61" s="229"/>
      <c r="I61" s="230"/>
      <c r="J61" s="231"/>
      <c r="K61" s="232"/>
      <c r="L61" s="233"/>
      <c r="M61" s="234"/>
      <c r="N61" s="234"/>
      <c r="O61" s="234"/>
      <c r="P61" s="234"/>
      <c r="Q61" s="235"/>
      <c r="R61" s="234"/>
      <c r="S61" s="234"/>
      <c r="T61" s="234"/>
      <c r="U61" s="234"/>
      <c r="V61" s="234"/>
      <c r="W61" s="236"/>
      <c r="X61" s="237"/>
      <c r="Y61" s="238"/>
      <c r="Z61" s="239"/>
      <c r="AA61" s="232"/>
      <c r="AB61" s="240"/>
      <c r="AC61" s="241"/>
    </row>
    <row r="62" spans="2:255" ht="24.95" customHeight="1">
      <c r="D62" s="76"/>
      <c r="E62" s="77"/>
      <c r="F62" s="77"/>
      <c r="G62" s="78"/>
      <c r="H62" s="157"/>
      <c r="I62" s="80"/>
      <c r="J62" s="221"/>
      <c r="K62" s="82"/>
      <c r="L62" s="90"/>
      <c r="M62" s="222"/>
      <c r="N62" s="222"/>
      <c r="O62" s="222"/>
      <c r="P62" s="222"/>
      <c r="Q62" s="223"/>
      <c r="R62" s="222"/>
      <c r="S62" s="222"/>
      <c r="T62" s="222"/>
      <c r="U62" s="222"/>
      <c r="V62" s="222"/>
      <c r="W62" s="91"/>
      <c r="X62" s="224"/>
      <c r="Y62" s="225"/>
      <c r="Z62" s="226"/>
      <c r="AA62" s="82"/>
      <c r="AB62" s="87"/>
      <c r="AC62" s="88"/>
    </row>
    <row r="63" spans="2:255" ht="20.100000000000001" customHeight="1">
      <c r="D63" s="346" t="s">
        <v>317</v>
      </c>
      <c r="E63" s="346"/>
      <c r="F63" s="346"/>
      <c r="G63" s="346"/>
      <c r="H63" s="346"/>
      <c r="I63" s="346"/>
      <c r="J63" s="346"/>
      <c r="K63" s="346"/>
      <c r="L63" s="346"/>
      <c r="M63" s="346"/>
      <c r="N63" s="346"/>
      <c r="O63" s="346"/>
      <c r="P63" s="346"/>
      <c r="Q63" s="346"/>
      <c r="R63" s="346"/>
      <c r="S63" s="346"/>
      <c r="T63" s="346"/>
      <c r="U63" s="346"/>
      <c r="V63" s="346"/>
      <c r="W63" s="346"/>
      <c r="X63" s="346"/>
      <c r="Y63" s="346"/>
      <c r="Z63" s="346"/>
      <c r="AA63" s="346"/>
      <c r="AB63" s="346"/>
      <c r="AC63" s="346"/>
    </row>
    <row r="64" spans="2:255" ht="20.100000000000001" customHeight="1">
      <c r="D64" s="348" t="str">
        <f>D34</f>
        <v>SUELDOS 16 AL 30 DE NOVIEMBRE DE 2016</v>
      </c>
      <c r="E64" s="348"/>
      <c r="F64" s="348"/>
      <c r="G64" s="348"/>
      <c r="H64" s="348"/>
      <c r="I64" s="348"/>
      <c r="J64" s="348"/>
      <c r="K64" s="348"/>
      <c r="L64" s="348"/>
      <c r="M64" s="348"/>
      <c r="N64" s="348"/>
      <c r="O64" s="348"/>
      <c r="P64" s="348"/>
      <c r="Q64" s="348"/>
      <c r="R64" s="348"/>
      <c r="S64" s="348"/>
      <c r="T64" s="348"/>
      <c r="U64" s="348"/>
      <c r="V64" s="348"/>
      <c r="W64" s="348"/>
      <c r="X64" s="348"/>
      <c r="Y64" s="348"/>
      <c r="Z64" s="348"/>
      <c r="AA64" s="348"/>
      <c r="AB64" s="348"/>
      <c r="AC64" s="348"/>
    </row>
    <row r="65" spans="4:32" ht="20.100000000000001" customHeight="1">
      <c r="D65" s="348" t="s">
        <v>71</v>
      </c>
      <c r="E65" s="348"/>
      <c r="F65" s="348"/>
      <c r="G65" s="348"/>
      <c r="H65" s="348"/>
      <c r="I65" s="348"/>
      <c r="J65" s="348"/>
      <c r="K65" s="348"/>
      <c r="L65" s="348"/>
      <c r="M65" s="348"/>
      <c r="N65" s="348"/>
      <c r="O65" s="348"/>
      <c r="P65" s="348"/>
      <c r="Q65" s="348"/>
      <c r="R65" s="348"/>
      <c r="S65" s="348"/>
      <c r="T65" s="348"/>
      <c r="U65" s="348"/>
      <c r="V65" s="348"/>
      <c r="W65" s="348"/>
      <c r="X65" s="348"/>
      <c r="Y65" s="348"/>
      <c r="Z65" s="348"/>
      <c r="AA65" s="348"/>
      <c r="AB65" s="348"/>
      <c r="AC65" s="348"/>
    </row>
    <row r="66" spans="4:32" ht="21.95" customHeight="1">
      <c r="D66" s="25"/>
      <c r="E66" s="25"/>
      <c r="F66" s="25"/>
      <c r="G66" s="110" t="s">
        <v>22</v>
      </c>
      <c r="H66" s="110" t="s">
        <v>6</v>
      </c>
      <c r="I66" s="335" t="s">
        <v>1</v>
      </c>
      <c r="J66" s="336"/>
      <c r="K66" s="337"/>
      <c r="L66" s="90"/>
      <c r="M66" s="222"/>
      <c r="N66" s="222"/>
      <c r="O66" s="222"/>
      <c r="P66" s="222"/>
      <c r="Q66" s="223"/>
      <c r="R66" s="222"/>
      <c r="S66" s="222"/>
      <c r="T66" s="222"/>
      <c r="U66" s="222"/>
      <c r="V66" s="222"/>
      <c r="W66" s="91"/>
      <c r="X66" s="110" t="s">
        <v>53</v>
      </c>
      <c r="Y66" s="335" t="s">
        <v>2</v>
      </c>
      <c r="Z66" s="336"/>
      <c r="AA66" s="337"/>
      <c r="AB66" s="110" t="s">
        <v>0</v>
      </c>
      <c r="AC66" s="47"/>
    </row>
    <row r="67" spans="4:32" ht="21.95" customHeight="1">
      <c r="D67" s="31" t="s">
        <v>21</v>
      </c>
      <c r="E67" s="31"/>
      <c r="F67" s="31"/>
      <c r="G67" s="119" t="s">
        <v>23</v>
      </c>
      <c r="H67" s="108" t="s">
        <v>24</v>
      </c>
      <c r="I67" s="110" t="s">
        <v>6</v>
      </c>
      <c r="J67" s="110" t="s">
        <v>61</v>
      </c>
      <c r="K67" s="110" t="s">
        <v>27</v>
      </c>
      <c r="L67" s="90"/>
      <c r="M67" s="222"/>
      <c r="N67" s="222"/>
      <c r="O67" s="222"/>
      <c r="P67" s="222"/>
      <c r="Q67" s="223"/>
      <c r="R67" s="222"/>
      <c r="S67" s="222"/>
      <c r="T67" s="222"/>
      <c r="U67" s="222"/>
      <c r="V67" s="222"/>
      <c r="W67" s="91"/>
      <c r="X67" s="108" t="s">
        <v>30</v>
      </c>
      <c r="Y67" s="344" t="s">
        <v>240</v>
      </c>
      <c r="Z67" s="110" t="s">
        <v>57</v>
      </c>
      <c r="AA67" s="110" t="s">
        <v>7</v>
      </c>
      <c r="AB67" s="108" t="s">
        <v>4</v>
      </c>
      <c r="AC67" s="48" t="s">
        <v>60</v>
      </c>
    </row>
    <row r="68" spans="4:32" ht="21.95" customHeight="1">
      <c r="D68" s="34"/>
      <c r="E68" s="107"/>
      <c r="F68" s="107" t="s">
        <v>65</v>
      </c>
      <c r="G68" s="108"/>
      <c r="H68" s="108"/>
      <c r="I68" s="108" t="s">
        <v>46</v>
      </c>
      <c r="J68" s="108" t="s">
        <v>62</v>
      </c>
      <c r="K68" s="108" t="s">
        <v>28</v>
      </c>
      <c r="L68" s="90"/>
      <c r="M68" s="222"/>
      <c r="N68" s="222"/>
      <c r="O68" s="222"/>
      <c r="P68" s="222"/>
      <c r="Q68" s="223"/>
      <c r="R68" s="222"/>
      <c r="S68" s="222"/>
      <c r="T68" s="222"/>
      <c r="U68" s="222"/>
      <c r="V68" s="222"/>
      <c r="W68" s="91"/>
      <c r="X68" s="108" t="s">
        <v>52</v>
      </c>
      <c r="Y68" s="345"/>
      <c r="Z68" s="108"/>
      <c r="AA68" s="108" t="s">
        <v>43</v>
      </c>
      <c r="AB68" s="108" t="s">
        <v>5</v>
      </c>
      <c r="AC68" s="113"/>
    </row>
    <row r="69" spans="4:32" ht="21.95" customHeight="1">
      <c r="D69" s="31"/>
      <c r="E69" s="114" t="s">
        <v>153</v>
      </c>
      <c r="F69" s="114" t="s">
        <v>64</v>
      </c>
      <c r="G69" s="115"/>
      <c r="H69" s="115"/>
      <c r="I69" s="115"/>
      <c r="J69" s="115"/>
      <c r="K69" s="115"/>
      <c r="L69" s="90"/>
      <c r="M69" s="222"/>
      <c r="N69" s="222"/>
      <c r="O69" s="222"/>
      <c r="P69" s="222"/>
      <c r="Q69" s="223"/>
      <c r="R69" s="222"/>
      <c r="S69" s="222"/>
      <c r="T69" s="222"/>
      <c r="U69" s="222"/>
      <c r="V69" s="222"/>
      <c r="W69" s="91"/>
      <c r="X69" s="115"/>
      <c r="Y69" s="115"/>
      <c r="Z69" s="115"/>
      <c r="AA69" s="115"/>
      <c r="AB69" s="115"/>
      <c r="AC69" s="116"/>
    </row>
    <row r="70" spans="4:32" ht="30" customHeight="1">
      <c r="D70" s="49"/>
      <c r="E70" s="252" t="s">
        <v>113</v>
      </c>
      <c r="F70" s="50"/>
      <c r="G70" s="51"/>
      <c r="H70" s="52"/>
      <c r="I70" s="53"/>
      <c r="J70" s="54"/>
      <c r="K70" s="55"/>
      <c r="L70" s="56"/>
      <c r="M70" s="57"/>
      <c r="N70" s="57"/>
      <c r="O70" s="57"/>
      <c r="P70" s="57"/>
      <c r="Q70" s="58"/>
      <c r="R70" s="57"/>
      <c r="S70" s="57"/>
      <c r="T70" s="57"/>
      <c r="U70" s="57"/>
      <c r="V70" s="57"/>
      <c r="W70" s="59"/>
      <c r="X70" s="55"/>
      <c r="Y70" s="60"/>
      <c r="Z70" s="61"/>
      <c r="AA70" s="55"/>
      <c r="AB70" s="62"/>
      <c r="AC70" s="64"/>
    </row>
    <row r="71" spans="4:32" ht="30" customHeight="1">
      <c r="D71" s="49">
        <v>30</v>
      </c>
      <c r="E71" s="251" t="s">
        <v>187</v>
      </c>
      <c r="F71" s="50" t="s">
        <v>99</v>
      </c>
      <c r="G71" s="51">
        <v>15</v>
      </c>
      <c r="H71" s="143">
        <f t="shared" si="1"/>
        <v>42.466666666666669</v>
      </c>
      <c r="I71" s="53">
        <v>637</v>
      </c>
      <c r="J71" s="54">
        <v>0</v>
      </c>
      <c r="K71" s="55">
        <f t="shared" ref="K71:K78" si="21">TRUNC(SUM(G71*H71)+J71,2)</f>
        <v>637</v>
      </c>
      <c r="L71" s="56"/>
      <c r="M71" s="57">
        <v>0</v>
      </c>
      <c r="N71" s="57">
        <f t="shared" ref="N71:N78" si="22">K71+M71</f>
        <v>637</v>
      </c>
      <c r="O71" s="57">
        <f>VLOOKUP(N71,Tarifa1,1)</f>
        <v>244.81</v>
      </c>
      <c r="P71" s="57">
        <f>N71-O71</f>
        <v>392.19</v>
      </c>
      <c r="Q71" s="58">
        <f>VLOOKUP(N71,Tarifa1,3)</f>
        <v>6.4000000000000001E-2</v>
      </c>
      <c r="R71" s="57">
        <f>P71*Q71</f>
        <v>25.100159999999999</v>
      </c>
      <c r="S71" s="57">
        <f>VLOOKUP(N71,Tarifa1,2)</f>
        <v>4.6500000000000004</v>
      </c>
      <c r="T71" s="57">
        <f>R71+S71</f>
        <v>29.750160000000001</v>
      </c>
      <c r="U71" s="57">
        <f>VLOOKUP(N71,Credito1,2)</f>
        <v>200.85</v>
      </c>
      <c r="V71" s="57">
        <f>T71-U71</f>
        <v>-171.09984</v>
      </c>
      <c r="W71" s="59"/>
      <c r="X71" s="89">
        <f>-IF(V71&gt;0,0,V71)</f>
        <v>171.09984</v>
      </c>
      <c r="Y71" s="92">
        <f>IF(V71&lt;0,0,V71)</f>
        <v>0</v>
      </c>
      <c r="Z71" s="61">
        <v>0</v>
      </c>
      <c r="AA71" s="55">
        <f t="shared" ref="AA71:AA77" si="23">SUM(Y71:Z71)</f>
        <v>0</v>
      </c>
      <c r="AB71" s="62">
        <f t="shared" ref="AB71:AB78" si="24">K71+X71-AA71</f>
        <v>808.09983999999997</v>
      </c>
      <c r="AC71" s="64"/>
      <c r="AF71" s="74"/>
    </row>
    <row r="72" spans="4:32" ht="30" customHeight="1">
      <c r="D72" s="49">
        <v>31</v>
      </c>
      <c r="E72" s="251" t="s">
        <v>290</v>
      </c>
      <c r="F72" s="50" t="s">
        <v>99</v>
      </c>
      <c r="G72" s="51">
        <v>15</v>
      </c>
      <c r="H72" s="143">
        <f t="shared" si="1"/>
        <v>42.466666666666669</v>
      </c>
      <c r="I72" s="53">
        <v>637</v>
      </c>
      <c r="J72" s="54">
        <v>0</v>
      </c>
      <c r="K72" s="55">
        <f t="shared" si="21"/>
        <v>637</v>
      </c>
      <c r="L72" s="56"/>
      <c r="M72" s="57">
        <v>0</v>
      </c>
      <c r="N72" s="57">
        <f t="shared" si="22"/>
        <v>637</v>
      </c>
      <c r="O72" s="57">
        <f t="shared" ref="O72:O87" si="25">VLOOKUP(N72,Tarifa1,1)</f>
        <v>244.81</v>
      </c>
      <c r="P72" s="57">
        <f t="shared" ref="P72:P87" si="26">N72-O72</f>
        <v>392.19</v>
      </c>
      <c r="Q72" s="58">
        <f t="shared" ref="Q72:Q87" si="27">VLOOKUP(N72,Tarifa1,3)</f>
        <v>6.4000000000000001E-2</v>
      </c>
      <c r="R72" s="57">
        <f t="shared" ref="R72:R87" si="28">P72*Q72</f>
        <v>25.100159999999999</v>
      </c>
      <c r="S72" s="57">
        <f t="shared" ref="S72:S87" si="29">VLOOKUP(N72,Tarifa1,2)</f>
        <v>4.6500000000000004</v>
      </c>
      <c r="T72" s="57">
        <f t="shared" ref="T72:T87" si="30">R72+S72</f>
        <v>29.750160000000001</v>
      </c>
      <c r="U72" s="57">
        <f t="shared" ref="U72:U87" si="31">VLOOKUP(N72,Credito1,2)</f>
        <v>200.85</v>
      </c>
      <c r="V72" s="57">
        <f t="shared" ref="V72:V87" si="32">T72-U72</f>
        <v>-171.09984</v>
      </c>
      <c r="W72" s="59"/>
      <c r="X72" s="89">
        <f t="shared" ref="X72:X78" si="33">-IF(V72&gt;0,0,V72)</f>
        <v>171.09984</v>
      </c>
      <c r="Y72" s="92">
        <f t="shared" ref="Y72:Y78" si="34">IF(V72&lt;0,0,V72)</f>
        <v>0</v>
      </c>
      <c r="Z72" s="61">
        <v>0</v>
      </c>
      <c r="AA72" s="55">
        <f t="shared" si="23"/>
        <v>0</v>
      </c>
      <c r="AB72" s="62">
        <f t="shared" si="24"/>
        <v>808.09983999999997</v>
      </c>
      <c r="AC72" s="64"/>
    </row>
    <row r="73" spans="4:32" ht="30" customHeight="1">
      <c r="D73" s="49">
        <v>32</v>
      </c>
      <c r="E73" s="251" t="s">
        <v>129</v>
      </c>
      <c r="F73" s="50" t="s">
        <v>99</v>
      </c>
      <c r="G73" s="51">
        <v>15</v>
      </c>
      <c r="H73" s="143">
        <f t="shared" si="1"/>
        <v>42.466666666666669</v>
      </c>
      <c r="I73" s="53">
        <v>637</v>
      </c>
      <c r="J73" s="54">
        <v>0</v>
      </c>
      <c r="K73" s="55">
        <f t="shared" si="21"/>
        <v>637</v>
      </c>
      <c r="L73" s="56"/>
      <c r="M73" s="57">
        <v>0</v>
      </c>
      <c r="N73" s="57">
        <f t="shared" si="22"/>
        <v>637</v>
      </c>
      <c r="O73" s="57">
        <f t="shared" si="25"/>
        <v>244.81</v>
      </c>
      <c r="P73" s="57">
        <f t="shared" si="26"/>
        <v>392.19</v>
      </c>
      <c r="Q73" s="58">
        <f t="shared" si="27"/>
        <v>6.4000000000000001E-2</v>
      </c>
      <c r="R73" s="57">
        <f t="shared" si="28"/>
        <v>25.100159999999999</v>
      </c>
      <c r="S73" s="57">
        <f t="shared" si="29"/>
        <v>4.6500000000000004</v>
      </c>
      <c r="T73" s="57">
        <f t="shared" si="30"/>
        <v>29.750160000000001</v>
      </c>
      <c r="U73" s="57">
        <f t="shared" si="31"/>
        <v>200.85</v>
      </c>
      <c r="V73" s="57">
        <f t="shared" si="32"/>
        <v>-171.09984</v>
      </c>
      <c r="W73" s="59"/>
      <c r="X73" s="89">
        <f t="shared" si="33"/>
        <v>171.09984</v>
      </c>
      <c r="Y73" s="92">
        <f t="shared" si="34"/>
        <v>0</v>
      </c>
      <c r="Z73" s="61">
        <v>0</v>
      </c>
      <c r="AA73" s="55">
        <f t="shared" si="23"/>
        <v>0</v>
      </c>
      <c r="AB73" s="62">
        <f t="shared" si="24"/>
        <v>808.09983999999997</v>
      </c>
      <c r="AC73" s="64"/>
    </row>
    <row r="74" spans="4:32" ht="30" customHeight="1">
      <c r="D74" s="49">
        <v>33</v>
      </c>
      <c r="E74" s="251" t="s">
        <v>225</v>
      </c>
      <c r="F74" s="50" t="s">
        <v>99</v>
      </c>
      <c r="G74" s="51">
        <v>15</v>
      </c>
      <c r="H74" s="143">
        <f t="shared" si="1"/>
        <v>42.466666666666669</v>
      </c>
      <c r="I74" s="53">
        <v>637</v>
      </c>
      <c r="J74" s="54">
        <v>0</v>
      </c>
      <c r="K74" s="55">
        <f t="shared" si="21"/>
        <v>637</v>
      </c>
      <c r="L74" s="56"/>
      <c r="M74" s="57">
        <v>0</v>
      </c>
      <c r="N74" s="57">
        <f t="shared" si="22"/>
        <v>637</v>
      </c>
      <c r="O74" s="57">
        <f t="shared" si="25"/>
        <v>244.81</v>
      </c>
      <c r="P74" s="57">
        <f t="shared" si="26"/>
        <v>392.19</v>
      </c>
      <c r="Q74" s="58">
        <f t="shared" si="27"/>
        <v>6.4000000000000001E-2</v>
      </c>
      <c r="R74" s="57">
        <f t="shared" si="28"/>
        <v>25.100159999999999</v>
      </c>
      <c r="S74" s="57">
        <f t="shared" si="29"/>
        <v>4.6500000000000004</v>
      </c>
      <c r="T74" s="57">
        <f t="shared" si="30"/>
        <v>29.750160000000001</v>
      </c>
      <c r="U74" s="57">
        <f t="shared" si="31"/>
        <v>200.85</v>
      </c>
      <c r="V74" s="57">
        <f t="shared" si="32"/>
        <v>-171.09984</v>
      </c>
      <c r="W74" s="59"/>
      <c r="X74" s="89">
        <f t="shared" si="33"/>
        <v>171.09984</v>
      </c>
      <c r="Y74" s="92">
        <f t="shared" si="34"/>
        <v>0</v>
      </c>
      <c r="Z74" s="61">
        <v>0</v>
      </c>
      <c r="AA74" s="55">
        <f t="shared" si="23"/>
        <v>0</v>
      </c>
      <c r="AB74" s="62">
        <f t="shared" si="24"/>
        <v>808.09983999999997</v>
      </c>
      <c r="AC74" s="64"/>
    </row>
    <row r="75" spans="4:32" ht="30" customHeight="1">
      <c r="D75" s="49">
        <v>34</v>
      </c>
      <c r="E75" s="251" t="s">
        <v>293</v>
      </c>
      <c r="F75" s="50" t="s">
        <v>103</v>
      </c>
      <c r="G75" s="51">
        <v>15</v>
      </c>
      <c r="H75" s="143">
        <f t="shared" si="1"/>
        <v>42.466666666666669</v>
      </c>
      <c r="I75" s="53">
        <v>637</v>
      </c>
      <c r="J75" s="54">
        <v>0</v>
      </c>
      <c r="K75" s="55">
        <f t="shared" si="21"/>
        <v>637</v>
      </c>
      <c r="L75" s="56"/>
      <c r="M75" s="57">
        <v>0</v>
      </c>
      <c r="N75" s="57">
        <f t="shared" si="22"/>
        <v>637</v>
      </c>
      <c r="O75" s="57">
        <f t="shared" si="25"/>
        <v>244.81</v>
      </c>
      <c r="P75" s="57">
        <f t="shared" si="26"/>
        <v>392.19</v>
      </c>
      <c r="Q75" s="58">
        <f t="shared" si="27"/>
        <v>6.4000000000000001E-2</v>
      </c>
      <c r="R75" s="57">
        <f t="shared" si="28"/>
        <v>25.100159999999999</v>
      </c>
      <c r="S75" s="57">
        <f t="shared" si="29"/>
        <v>4.6500000000000004</v>
      </c>
      <c r="T75" s="57">
        <f t="shared" si="30"/>
        <v>29.750160000000001</v>
      </c>
      <c r="U75" s="57">
        <f t="shared" si="31"/>
        <v>200.85</v>
      </c>
      <c r="V75" s="57">
        <f t="shared" si="32"/>
        <v>-171.09984</v>
      </c>
      <c r="W75" s="59"/>
      <c r="X75" s="89">
        <f t="shared" si="33"/>
        <v>171.09984</v>
      </c>
      <c r="Y75" s="92">
        <f t="shared" si="34"/>
        <v>0</v>
      </c>
      <c r="Z75" s="61">
        <v>0</v>
      </c>
      <c r="AA75" s="55">
        <f t="shared" si="23"/>
        <v>0</v>
      </c>
      <c r="AB75" s="62">
        <f t="shared" si="24"/>
        <v>808.09983999999997</v>
      </c>
      <c r="AC75" s="64"/>
    </row>
    <row r="76" spans="4:32" ht="30" customHeight="1">
      <c r="D76" s="49">
        <v>35</v>
      </c>
      <c r="E76" s="251" t="s">
        <v>291</v>
      </c>
      <c r="F76" s="50" t="s">
        <v>99</v>
      </c>
      <c r="G76" s="51">
        <v>15</v>
      </c>
      <c r="H76" s="143">
        <f t="shared" si="1"/>
        <v>42.466666666666669</v>
      </c>
      <c r="I76" s="53">
        <v>637</v>
      </c>
      <c r="J76" s="54">
        <v>0</v>
      </c>
      <c r="K76" s="55">
        <f t="shared" si="21"/>
        <v>637</v>
      </c>
      <c r="L76" s="56"/>
      <c r="M76" s="57">
        <v>0</v>
      </c>
      <c r="N76" s="57">
        <f t="shared" si="22"/>
        <v>637</v>
      </c>
      <c r="O76" s="57">
        <f t="shared" si="25"/>
        <v>244.81</v>
      </c>
      <c r="P76" s="57">
        <f t="shared" si="26"/>
        <v>392.19</v>
      </c>
      <c r="Q76" s="58">
        <f t="shared" si="27"/>
        <v>6.4000000000000001E-2</v>
      </c>
      <c r="R76" s="57">
        <f t="shared" si="28"/>
        <v>25.100159999999999</v>
      </c>
      <c r="S76" s="57">
        <f t="shared" si="29"/>
        <v>4.6500000000000004</v>
      </c>
      <c r="T76" s="57">
        <f t="shared" si="30"/>
        <v>29.750160000000001</v>
      </c>
      <c r="U76" s="57">
        <f t="shared" si="31"/>
        <v>200.85</v>
      </c>
      <c r="V76" s="57">
        <f t="shared" si="32"/>
        <v>-171.09984</v>
      </c>
      <c r="W76" s="59"/>
      <c r="X76" s="89">
        <f t="shared" si="33"/>
        <v>171.09984</v>
      </c>
      <c r="Y76" s="92">
        <f t="shared" si="34"/>
        <v>0</v>
      </c>
      <c r="Z76" s="61">
        <v>0</v>
      </c>
      <c r="AA76" s="55">
        <f t="shared" si="23"/>
        <v>0</v>
      </c>
      <c r="AB76" s="62">
        <f t="shared" si="24"/>
        <v>808.09983999999997</v>
      </c>
      <c r="AC76" s="64"/>
    </row>
    <row r="77" spans="4:32" ht="30" customHeight="1">
      <c r="D77" s="49">
        <v>36</v>
      </c>
      <c r="E77" s="251" t="s">
        <v>226</v>
      </c>
      <c r="F77" s="50" t="s">
        <v>227</v>
      </c>
      <c r="G77" s="51">
        <v>15</v>
      </c>
      <c r="H77" s="143">
        <f t="shared" si="1"/>
        <v>42.466666666666669</v>
      </c>
      <c r="I77" s="53">
        <v>637</v>
      </c>
      <c r="J77" s="54">
        <v>0</v>
      </c>
      <c r="K77" s="55">
        <f t="shared" si="21"/>
        <v>637</v>
      </c>
      <c r="L77" s="56"/>
      <c r="M77" s="57">
        <v>0</v>
      </c>
      <c r="N77" s="57">
        <f t="shared" si="22"/>
        <v>637</v>
      </c>
      <c r="O77" s="57">
        <f t="shared" si="25"/>
        <v>244.81</v>
      </c>
      <c r="P77" s="57">
        <f t="shared" si="26"/>
        <v>392.19</v>
      </c>
      <c r="Q77" s="58">
        <f t="shared" si="27"/>
        <v>6.4000000000000001E-2</v>
      </c>
      <c r="R77" s="57">
        <f t="shared" si="28"/>
        <v>25.100159999999999</v>
      </c>
      <c r="S77" s="57">
        <f t="shared" si="29"/>
        <v>4.6500000000000004</v>
      </c>
      <c r="T77" s="57">
        <f t="shared" si="30"/>
        <v>29.750160000000001</v>
      </c>
      <c r="U77" s="57">
        <f t="shared" si="31"/>
        <v>200.85</v>
      </c>
      <c r="V77" s="57">
        <f t="shared" si="32"/>
        <v>-171.09984</v>
      </c>
      <c r="W77" s="59"/>
      <c r="X77" s="89">
        <f t="shared" si="33"/>
        <v>171.09984</v>
      </c>
      <c r="Y77" s="92">
        <f t="shared" si="34"/>
        <v>0</v>
      </c>
      <c r="Z77" s="61">
        <v>0</v>
      </c>
      <c r="AA77" s="55">
        <f t="shared" si="23"/>
        <v>0</v>
      </c>
      <c r="AB77" s="62">
        <f t="shared" si="24"/>
        <v>808.09983999999997</v>
      </c>
      <c r="AC77" s="64"/>
    </row>
    <row r="78" spans="4:32" ht="30" customHeight="1">
      <c r="D78" s="49">
        <v>37</v>
      </c>
      <c r="E78" s="251" t="s">
        <v>184</v>
      </c>
      <c r="F78" s="50" t="s">
        <v>130</v>
      </c>
      <c r="G78" s="51">
        <v>15</v>
      </c>
      <c r="H78" s="143">
        <f t="shared" si="1"/>
        <v>45.333333333333336</v>
      </c>
      <c r="I78" s="53">
        <v>680</v>
      </c>
      <c r="J78" s="54">
        <v>0</v>
      </c>
      <c r="K78" s="55">
        <f t="shared" si="21"/>
        <v>680</v>
      </c>
      <c r="L78" s="56"/>
      <c r="M78" s="57">
        <v>0</v>
      </c>
      <c r="N78" s="57">
        <f t="shared" si="22"/>
        <v>680</v>
      </c>
      <c r="O78" s="57">
        <f t="shared" si="25"/>
        <v>244.81</v>
      </c>
      <c r="P78" s="57">
        <f t="shared" si="26"/>
        <v>435.19</v>
      </c>
      <c r="Q78" s="58">
        <f t="shared" si="27"/>
        <v>6.4000000000000001E-2</v>
      </c>
      <c r="R78" s="57">
        <f t="shared" si="28"/>
        <v>27.852160000000001</v>
      </c>
      <c r="S78" s="57">
        <f t="shared" si="29"/>
        <v>4.6500000000000004</v>
      </c>
      <c r="T78" s="57">
        <f t="shared" si="30"/>
        <v>32.502160000000003</v>
      </c>
      <c r="U78" s="57">
        <f t="shared" si="31"/>
        <v>200.85</v>
      </c>
      <c r="V78" s="57">
        <f t="shared" si="32"/>
        <v>-168.34783999999999</v>
      </c>
      <c r="W78" s="59"/>
      <c r="X78" s="89">
        <f t="shared" si="33"/>
        <v>168.34783999999999</v>
      </c>
      <c r="Y78" s="92">
        <f t="shared" si="34"/>
        <v>0</v>
      </c>
      <c r="Z78" s="61">
        <v>0</v>
      </c>
      <c r="AA78" s="55">
        <f>SUM(Y78:Z78)</f>
        <v>0</v>
      </c>
      <c r="AB78" s="62">
        <f t="shared" si="24"/>
        <v>848.34784000000002</v>
      </c>
      <c r="AC78" s="64"/>
      <c r="AF78" s="74"/>
    </row>
    <row r="79" spans="4:32" ht="30" customHeight="1">
      <c r="D79" s="49">
        <v>38</v>
      </c>
      <c r="E79" s="251" t="s">
        <v>294</v>
      </c>
      <c r="F79" s="50" t="s">
        <v>299</v>
      </c>
      <c r="G79" s="51"/>
      <c r="H79" s="143"/>
      <c r="I79" s="53">
        <v>649</v>
      </c>
      <c r="J79" s="54">
        <v>0</v>
      </c>
      <c r="K79" s="55">
        <v>649</v>
      </c>
      <c r="L79" s="56"/>
      <c r="M79" s="57">
        <v>1</v>
      </c>
      <c r="N79" s="57">
        <f>K79+M79</f>
        <v>650</v>
      </c>
      <c r="O79" s="57">
        <f>VLOOKUP(N79,Tarifa1,1)</f>
        <v>244.81</v>
      </c>
      <c r="P79" s="57">
        <f>N79-O79</f>
        <v>405.19</v>
      </c>
      <c r="Q79" s="58">
        <f>VLOOKUP(N79,Tarifa1,3)</f>
        <v>6.4000000000000001E-2</v>
      </c>
      <c r="R79" s="57">
        <f>P79*Q79</f>
        <v>25.93216</v>
      </c>
      <c r="S79" s="57">
        <f>VLOOKUP(N79,Tarifa1,2)</f>
        <v>4.6500000000000004</v>
      </c>
      <c r="T79" s="57">
        <f>R79+S79</f>
        <v>30.582160000000002</v>
      </c>
      <c r="U79" s="57">
        <f>VLOOKUP(N79,Credito1,2)</f>
        <v>200.85</v>
      </c>
      <c r="V79" s="57">
        <f>T79-U79</f>
        <v>-170.26783999999998</v>
      </c>
      <c r="W79" s="59"/>
      <c r="X79" s="89">
        <f>-IF(V79&gt;0,0,V79)</f>
        <v>170.26783999999998</v>
      </c>
      <c r="Y79" s="92">
        <f>IF(V79&lt;0,0,V79)</f>
        <v>0</v>
      </c>
      <c r="Z79" s="61">
        <v>0</v>
      </c>
      <c r="AA79" s="55">
        <v>0</v>
      </c>
      <c r="AB79" s="62">
        <f>K79+X79-AA79</f>
        <v>819.26783999999998</v>
      </c>
      <c r="AC79" s="64"/>
      <c r="AF79" s="74"/>
    </row>
    <row r="80" spans="4:32" ht="30" customHeight="1">
      <c r="D80" s="49"/>
      <c r="E80" s="252" t="s">
        <v>131</v>
      </c>
      <c r="F80" s="50"/>
      <c r="G80" s="51"/>
      <c r="H80" s="52"/>
      <c r="I80" s="53"/>
      <c r="J80" s="54"/>
      <c r="K80" s="55"/>
      <c r="L80" s="56"/>
      <c r="M80" s="57"/>
      <c r="N80" s="57"/>
      <c r="O80" s="57"/>
      <c r="P80" s="57"/>
      <c r="Q80" s="58"/>
      <c r="R80" s="57"/>
      <c r="S80" s="57"/>
      <c r="T80" s="57"/>
      <c r="U80" s="57"/>
      <c r="V80" s="57"/>
      <c r="W80" s="59"/>
      <c r="X80" s="55"/>
      <c r="Y80" s="60"/>
      <c r="Z80" s="61"/>
      <c r="AA80" s="55"/>
      <c r="AB80" s="62"/>
      <c r="AC80" s="64"/>
    </row>
    <row r="81" spans="4:32" ht="30" customHeight="1">
      <c r="D81" s="49">
        <v>39</v>
      </c>
      <c r="E81" s="251" t="s">
        <v>132</v>
      </c>
      <c r="F81" s="50" t="s">
        <v>133</v>
      </c>
      <c r="G81" s="51">
        <v>15</v>
      </c>
      <c r="H81" s="143">
        <f t="shared" si="1"/>
        <v>44.93333333333333</v>
      </c>
      <c r="I81" s="53">
        <v>674</v>
      </c>
      <c r="J81" s="54">
        <v>0</v>
      </c>
      <c r="K81" s="55">
        <f>TRUNC(SUM(G81*H81)+J81,2)</f>
        <v>674</v>
      </c>
      <c r="L81" s="56"/>
      <c r="M81" s="57">
        <v>0</v>
      </c>
      <c r="N81" s="57">
        <f>K81+M81</f>
        <v>674</v>
      </c>
      <c r="O81" s="57">
        <f t="shared" si="25"/>
        <v>244.81</v>
      </c>
      <c r="P81" s="57">
        <f t="shared" si="26"/>
        <v>429.19</v>
      </c>
      <c r="Q81" s="58">
        <f t="shared" si="27"/>
        <v>6.4000000000000001E-2</v>
      </c>
      <c r="R81" s="57">
        <f t="shared" si="28"/>
        <v>27.468160000000001</v>
      </c>
      <c r="S81" s="57">
        <f t="shared" si="29"/>
        <v>4.6500000000000004</v>
      </c>
      <c r="T81" s="57">
        <f t="shared" si="30"/>
        <v>32.118160000000003</v>
      </c>
      <c r="U81" s="57">
        <f t="shared" si="31"/>
        <v>200.85</v>
      </c>
      <c r="V81" s="57">
        <f t="shared" si="32"/>
        <v>-168.73183999999998</v>
      </c>
      <c r="W81" s="59"/>
      <c r="X81" s="55">
        <f>-IF(V81&gt;0,0,V81)</f>
        <v>168.73183999999998</v>
      </c>
      <c r="Y81" s="60">
        <f>IF(V81&lt;0,0,V81)</f>
        <v>0</v>
      </c>
      <c r="Z81" s="61">
        <v>0</v>
      </c>
      <c r="AA81" s="55">
        <f>SUM(Y81:Z81)</f>
        <v>0</v>
      </c>
      <c r="AB81" s="62">
        <f>K81+X81-AA81</f>
        <v>842.73183999999992</v>
      </c>
      <c r="AC81" s="64"/>
      <c r="AF81" s="74"/>
    </row>
    <row r="82" spans="4:32" ht="30" customHeight="1">
      <c r="D82" s="49">
        <v>40</v>
      </c>
      <c r="E82" s="251" t="s">
        <v>186</v>
      </c>
      <c r="F82" s="50" t="s">
        <v>165</v>
      </c>
      <c r="G82" s="51">
        <v>15</v>
      </c>
      <c r="H82" s="143">
        <f t="shared" si="1"/>
        <v>117.93333333333334</v>
      </c>
      <c r="I82" s="53">
        <v>1769</v>
      </c>
      <c r="J82" s="54">
        <v>0</v>
      </c>
      <c r="K82" s="55">
        <f>TRUNC(SUM(G82*H82)+J82,2)</f>
        <v>1769</v>
      </c>
      <c r="L82" s="56"/>
      <c r="M82" s="57">
        <v>0</v>
      </c>
      <c r="N82" s="57">
        <f>K82+M82</f>
        <v>1769</v>
      </c>
      <c r="O82" s="57">
        <f t="shared" si="25"/>
        <v>244.81</v>
      </c>
      <c r="P82" s="57">
        <f t="shared" si="26"/>
        <v>1524.19</v>
      </c>
      <c r="Q82" s="58">
        <f t="shared" si="27"/>
        <v>6.4000000000000001E-2</v>
      </c>
      <c r="R82" s="57">
        <f t="shared" si="28"/>
        <v>97.54816000000001</v>
      </c>
      <c r="S82" s="57">
        <f t="shared" si="29"/>
        <v>4.6500000000000004</v>
      </c>
      <c r="T82" s="57">
        <f t="shared" si="30"/>
        <v>102.19816000000002</v>
      </c>
      <c r="U82" s="57">
        <f t="shared" si="31"/>
        <v>188.7</v>
      </c>
      <c r="V82" s="57">
        <f t="shared" si="32"/>
        <v>-86.501839999999973</v>
      </c>
      <c r="W82" s="59"/>
      <c r="X82" s="55">
        <f>-IF(V82&gt;0,0,V82)</f>
        <v>86.501839999999973</v>
      </c>
      <c r="Y82" s="60">
        <f>IF(V82&lt;0,0,V82)</f>
        <v>0</v>
      </c>
      <c r="Z82" s="61">
        <v>0</v>
      </c>
      <c r="AA82" s="55">
        <f>SUM(Y82:Z82)</f>
        <v>0</v>
      </c>
      <c r="AB82" s="62">
        <f>K82+X82-AA82</f>
        <v>1855.5018399999999</v>
      </c>
      <c r="AC82" s="64"/>
      <c r="AF82" s="74"/>
    </row>
    <row r="83" spans="4:32" ht="30" customHeight="1">
      <c r="D83" s="49">
        <v>41</v>
      </c>
      <c r="E83" s="253" t="s">
        <v>310</v>
      </c>
      <c r="F83" s="50" t="s">
        <v>309</v>
      </c>
      <c r="G83" s="51"/>
      <c r="H83" s="143"/>
      <c r="I83" s="145">
        <v>2005</v>
      </c>
      <c r="J83" s="145">
        <v>0</v>
      </c>
      <c r="K83" s="145">
        <v>2005</v>
      </c>
      <c r="L83" s="146"/>
      <c r="M83" s="147">
        <v>0</v>
      </c>
      <c r="N83" s="147">
        <f>K83</f>
        <v>2005</v>
      </c>
      <c r="O83" s="147">
        <f>VLOOKUP(N83,Tarifa1,1)</f>
        <v>244.81</v>
      </c>
      <c r="P83" s="147">
        <f>N83-O83</f>
        <v>1760.19</v>
      </c>
      <c r="Q83" s="148">
        <f>VLOOKUP(N83,Tarifa1,3)</f>
        <v>6.4000000000000001E-2</v>
      </c>
      <c r="R83" s="147">
        <f>P83*Q83</f>
        <v>112.65216000000001</v>
      </c>
      <c r="S83" s="147">
        <f>VLOOKUP(N83,Tarifa1,2)</f>
        <v>4.6500000000000004</v>
      </c>
      <c r="T83" s="147">
        <f>R83+S83</f>
        <v>117.30216000000001</v>
      </c>
      <c r="U83" s="147">
        <f>VLOOKUP(N83,Credito1,2)</f>
        <v>188.7</v>
      </c>
      <c r="V83" s="147">
        <f>T83-U83</f>
        <v>-71.397839999999974</v>
      </c>
      <c r="W83" s="149"/>
      <c r="X83" s="145">
        <f>-IF(V83&gt;0,0,V83)</f>
        <v>71.397839999999974</v>
      </c>
      <c r="Y83" s="150">
        <f>IF(V83&lt;0,0,V83)</f>
        <v>0</v>
      </c>
      <c r="Z83" s="151">
        <v>0</v>
      </c>
      <c r="AA83" s="145">
        <f>SUM(Y83:Z83)</f>
        <v>0</v>
      </c>
      <c r="AB83" s="152">
        <f>K83+X83-AA83</f>
        <v>2076.3978400000001</v>
      </c>
      <c r="AC83" s="64"/>
      <c r="AF83" s="74"/>
    </row>
    <row r="84" spans="4:32" ht="30" customHeight="1">
      <c r="D84" s="49"/>
      <c r="E84" s="252" t="s">
        <v>188</v>
      </c>
      <c r="F84" s="50"/>
      <c r="G84" s="51"/>
      <c r="H84" s="52"/>
      <c r="I84" s="53"/>
      <c r="J84" s="54"/>
      <c r="K84" s="55"/>
      <c r="L84" s="56"/>
      <c r="M84" s="57"/>
      <c r="N84" s="57"/>
      <c r="O84" s="57"/>
      <c r="P84" s="57"/>
      <c r="Q84" s="58"/>
      <c r="R84" s="57"/>
      <c r="S84" s="57"/>
      <c r="T84" s="57"/>
      <c r="U84" s="57"/>
      <c r="V84" s="57"/>
      <c r="W84" s="59"/>
      <c r="X84" s="55"/>
      <c r="Y84" s="60"/>
      <c r="Z84" s="61"/>
      <c r="AA84" s="55"/>
      <c r="AB84" s="62"/>
      <c r="AC84" s="64"/>
    </row>
    <row r="85" spans="4:32" ht="30" customHeight="1">
      <c r="D85" s="49">
        <v>42</v>
      </c>
      <c r="E85" s="251" t="s">
        <v>216</v>
      </c>
      <c r="F85" s="50" t="s">
        <v>217</v>
      </c>
      <c r="G85" s="51">
        <v>15</v>
      </c>
      <c r="H85" s="143">
        <f t="shared" si="1"/>
        <v>123.53333333333333</v>
      </c>
      <c r="I85" s="53">
        <v>1853</v>
      </c>
      <c r="J85" s="54">
        <v>0</v>
      </c>
      <c r="K85" s="55">
        <f>TRUNC(SUM(G85*H85)+J85,2)</f>
        <v>1853</v>
      </c>
      <c r="L85" s="56"/>
      <c r="M85" s="57">
        <v>0</v>
      </c>
      <c r="N85" s="57">
        <f>K85+M85</f>
        <v>1853</v>
      </c>
      <c r="O85" s="57">
        <f t="shared" si="25"/>
        <v>244.81</v>
      </c>
      <c r="P85" s="57">
        <f t="shared" si="26"/>
        <v>1608.19</v>
      </c>
      <c r="Q85" s="58">
        <f t="shared" si="27"/>
        <v>6.4000000000000001E-2</v>
      </c>
      <c r="R85" s="57">
        <f t="shared" si="28"/>
        <v>102.92416</v>
      </c>
      <c r="S85" s="57">
        <f t="shared" si="29"/>
        <v>4.6500000000000004</v>
      </c>
      <c r="T85" s="57">
        <f t="shared" si="30"/>
        <v>107.57416000000001</v>
      </c>
      <c r="U85" s="57">
        <f t="shared" si="31"/>
        <v>188.7</v>
      </c>
      <c r="V85" s="57">
        <f t="shared" si="32"/>
        <v>-81.125839999999982</v>
      </c>
      <c r="W85" s="59"/>
      <c r="X85" s="55">
        <f>-IF(V85&gt;0,0,V85)</f>
        <v>81.125839999999982</v>
      </c>
      <c r="Y85" s="60">
        <f>IF(V85&lt;0,0,V85)</f>
        <v>0</v>
      </c>
      <c r="Z85" s="61">
        <v>0</v>
      </c>
      <c r="AA85" s="55">
        <f>SUM(Y85:Z85)</f>
        <v>0</v>
      </c>
      <c r="AB85" s="62">
        <f>K85+X85-AA85</f>
        <v>1934.1258399999999</v>
      </c>
      <c r="AC85" s="64"/>
      <c r="AF85" s="74"/>
    </row>
    <row r="86" spans="4:32" ht="30" customHeight="1">
      <c r="D86" s="49">
        <v>43</v>
      </c>
      <c r="E86" s="251" t="s">
        <v>298</v>
      </c>
      <c r="F86" s="50" t="s">
        <v>77</v>
      </c>
      <c r="G86" s="51"/>
      <c r="H86" s="143"/>
      <c r="I86" s="53">
        <v>1644</v>
      </c>
      <c r="J86" s="54">
        <v>0</v>
      </c>
      <c r="K86" s="55">
        <v>1644</v>
      </c>
      <c r="L86" s="56"/>
      <c r="M86" s="57">
        <v>1</v>
      </c>
      <c r="N86" s="57">
        <f>K86+M86</f>
        <v>1645</v>
      </c>
      <c r="O86" s="57">
        <f>VLOOKUP(N86,Tarifa1,1)</f>
        <v>244.81</v>
      </c>
      <c r="P86" s="57">
        <f>N86-O86</f>
        <v>1400.19</v>
      </c>
      <c r="Q86" s="58">
        <f>VLOOKUP(N86,Tarifa1,3)</f>
        <v>6.4000000000000001E-2</v>
      </c>
      <c r="R86" s="57">
        <f>P86*Q86</f>
        <v>89.612160000000003</v>
      </c>
      <c r="S86" s="57">
        <f>VLOOKUP(N86,Tarifa1,2)</f>
        <v>4.6500000000000004</v>
      </c>
      <c r="T86" s="57">
        <f>R86+S86</f>
        <v>94.262160000000009</v>
      </c>
      <c r="U86" s="57">
        <f>VLOOKUP(N86,Credito1,2)</f>
        <v>200.7</v>
      </c>
      <c r="V86" s="57">
        <f>T86-U86</f>
        <v>-106.43783999999998</v>
      </c>
      <c r="W86" s="59"/>
      <c r="X86" s="55">
        <f>-IF(V86&gt;0,0,V86)</f>
        <v>106.43783999999998</v>
      </c>
      <c r="Y86" s="60">
        <f>IF(V86&lt;0,0,V86)</f>
        <v>0</v>
      </c>
      <c r="Z86" s="61">
        <v>0</v>
      </c>
      <c r="AA86" s="55">
        <f>SUM(Y86:Z86)</f>
        <v>0</v>
      </c>
      <c r="AB86" s="62">
        <f>K86+X86-AA86</f>
        <v>1750.4378400000001</v>
      </c>
      <c r="AC86" s="64"/>
      <c r="AF86" s="74"/>
    </row>
    <row r="87" spans="4:32" ht="30" customHeight="1">
      <c r="D87" s="49">
        <v>44</v>
      </c>
      <c r="E87" s="251" t="s">
        <v>193</v>
      </c>
      <c r="F87" s="50" t="s">
        <v>191</v>
      </c>
      <c r="G87" s="51">
        <v>15</v>
      </c>
      <c r="H87" s="143">
        <f t="shared" si="1"/>
        <v>139.19999999999999</v>
      </c>
      <c r="I87" s="53">
        <v>2088</v>
      </c>
      <c r="J87" s="54">
        <v>0</v>
      </c>
      <c r="K87" s="55">
        <f>TRUNC(SUM(G87*H87)+J87,2)</f>
        <v>2088</v>
      </c>
      <c r="L87" s="56"/>
      <c r="M87" s="57">
        <v>0</v>
      </c>
      <c r="N87" s="57">
        <f>K87+M87</f>
        <v>2088</v>
      </c>
      <c r="O87" s="57">
        <f t="shared" si="25"/>
        <v>2077.5100000000002</v>
      </c>
      <c r="P87" s="57">
        <f t="shared" si="26"/>
        <v>10.489999999999782</v>
      </c>
      <c r="Q87" s="58">
        <f t="shared" si="27"/>
        <v>0.10879999999999999</v>
      </c>
      <c r="R87" s="57">
        <f t="shared" si="28"/>
        <v>1.1413119999999761</v>
      </c>
      <c r="S87" s="57">
        <f t="shared" si="29"/>
        <v>121.95</v>
      </c>
      <c r="T87" s="57">
        <f t="shared" si="30"/>
        <v>123.09131199999997</v>
      </c>
      <c r="U87" s="57">
        <f t="shared" si="31"/>
        <v>188.7</v>
      </c>
      <c r="V87" s="57">
        <f t="shared" si="32"/>
        <v>-65.608688000000015</v>
      </c>
      <c r="W87" s="59"/>
      <c r="X87" s="55">
        <f>-IF(V87&gt;0,0,V87)</f>
        <v>65.608688000000015</v>
      </c>
      <c r="Y87" s="60">
        <f>IF(V87&lt;0,0,V87)</f>
        <v>0</v>
      </c>
      <c r="Z87" s="61">
        <v>0</v>
      </c>
      <c r="AA87" s="55">
        <f>SUM(Y87:Z87)</f>
        <v>0</v>
      </c>
      <c r="AB87" s="62">
        <f>K87+X87-AA87</f>
        <v>2153.6086879999998</v>
      </c>
      <c r="AC87" s="64"/>
      <c r="AF87" s="74"/>
    </row>
    <row r="88" spans="4:32" ht="30" customHeight="1" thickBot="1">
      <c r="D88" s="100"/>
      <c r="E88" s="101"/>
      <c r="F88" s="102"/>
      <c r="G88" s="75" t="s">
        <v>44</v>
      </c>
      <c r="I88" s="44">
        <f>SUM(I11:I87)</f>
        <v>83317</v>
      </c>
      <c r="J88" s="44">
        <f>SUM(J11:J87)</f>
        <v>0</v>
      </c>
      <c r="K88" s="44">
        <f>SUM(K11:K87)</f>
        <v>83317</v>
      </c>
      <c r="L88" s="45"/>
      <c r="M88" s="46">
        <f t="shared" ref="M88:V88" si="35">SUM(M11:M87)</f>
        <v>3</v>
      </c>
      <c r="N88" s="46">
        <f t="shared" si="35"/>
        <v>81432</v>
      </c>
      <c r="O88" s="46">
        <f t="shared" si="35"/>
        <v>35857.030000000021</v>
      </c>
      <c r="P88" s="46">
        <f t="shared" si="35"/>
        <v>45574.97000000003</v>
      </c>
      <c r="Q88" s="46">
        <f t="shared" si="35"/>
        <v>3.4200000000000017</v>
      </c>
      <c r="R88" s="46">
        <f t="shared" si="35"/>
        <v>3477.6872400000002</v>
      </c>
      <c r="S88" s="46">
        <f t="shared" si="35"/>
        <v>2172.6000000000031</v>
      </c>
      <c r="T88" s="46">
        <f t="shared" si="35"/>
        <v>5650.2872399999987</v>
      </c>
      <c r="U88" s="46">
        <f t="shared" si="35"/>
        <v>7659.75</v>
      </c>
      <c r="V88" s="46">
        <f t="shared" si="35"/>
        <v>-2009.462759999999</v>
      </c>
      <c r="W88" s="45"/>
      <c r="X88" s="44">
        <f>SUM(X11:X87)</f>
        <v>3802.5345759999987</v>
      </c>
      <c r="Y88" s="44">
        <f>SUM(Y11:Y87)</f>
        <v>1705.799784</v>
      </c>
      <c r="Z88" s="44">
        <f>SUM(Z11:Z87)</f>
        <v>0</v>
      </c>
      <c r="AA88" s="44">
        <f>SUM(AA11:AA87)</f>
        <v>1705.799784</v>
      </c>
      <c r="AB88" s="44">
        <f>SUM(AB11:AB87)</f>
        <v>85413.734791999945</v>
      </c>
      <c r="AC88" s="64"/>
    </row>
    <row r="89" spans="4:32" ht="13.5" thickTop="1"/>
    <row r="91" spans="4:32">
      <c r="E91" s="4" t="s">
        <v>253</v>
      </c>
      <c r="Y91" s="4" t="s">
        <v>254</v>
      </c>
      <c r="AB91" s="74"/>
    </row>
    <row r="92" spans="4:32" ht="14.25">
      <c r="E92" s="256" t="s">
        <v>237</v>
      </c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81"/>
      <c r="Y92" s="256" t="s">
        <v>238</v>
      </c>
      <c r="Z92" s="5"/>
      <c r="AA92" s="5"/>
      <c r="AB92" s="5"/>
    </row>
    <row r="93" spans="4:32" ht="15">
      <c r="E93" s="257" t="s">
        <v>67</v>
      </c>
      <c r="F93" s="183"/>
      <c r="G93" s="183"/>
      <c r="H93" s="183"/>
      <c r="I93" s="183"/>
      <c r="J93" s="183"/>
      <c r="K93" s="183"/>
      <c r="L93" s="183"/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4"/>
      <c r="Y93" s="257" t="s">
        <v>239</v>
      </c>
      <c r="Z93" s="5"/>
      <c r="AA93" s="5"/>
      <c r="AB93" s="5"/>
    </row>
    <row r="94" spans="4:32" s="120" customFormat="1"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66"/>
      <c r="AB94" s="181"/>
      <c r="AC94" s="182"/>
    </row>
    <row r="95" spans="4:32" s="120" customFormat="1">
      <c r="E95" s="190"/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4"/>
      <c r="AC95" s="183"/>
    </row>
    <row r="96" spans="4:32">
      <c r="AC96" s="66"/>
    </row>
  </sheetData>
  <sheetProtection selectLockedCells="1" selectUnlockedCells="1"/>
  <mergeCells count="19">
    <mergeCell ref="I66:K66"/>
    <mergeCell ref="Y66:AA66"/>
    <mergeCell ref="Y67:Y68"/>
    <mergeCell ref="D63:AC63"/>
    <mergeCell ref="D64:AC64"/>
    <mergeCell ref="D65:AC65"/>
    <mergeCell ref="Y7:Y8"/>
    <mergeCell ref="D3:AC3"/>
    <mergeCell ref="D4:AC4"/>
    <mergeCell ref="D5:AC5"/>
    <mergeCell ref="I6:K6"/>
    <mergeCell ref="O6:T6"/>
    <mergeCell ref="Y6:AA6"/>
    <mergeCell ref="O36:T36"/>
    <mergeCell ref="Y36:AA36"/>
    <mergeCell ref="I36:K36"/>
    <mergeCell ref="D33:AC33"/>
    <mergeCell ref="D34:AC34"/>
    <mergeCell ref="D35:AC35"/>
  </mergeCells>
  <phoneticPr fontId="0" type="noConversion"/>
  <pageMargins left="0.47244094488188981" right="0" top="0.59055118110236227" bottom="0" header="0.15748031496062992" footer="0.31496062992125984"/>
  <pageSetup paperSize="5" scale="6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E90"/>
  <sheetViews>
    <sheetView topLeftCell="A25" workbookViewId="0">
      <selection activeCell="D46" sqref="D46"/>
    </sheetView>
  </sheetViews>
  <sheetFormatPr baseColWidth="10" defaultRowHeight="12.75"/>
  <cols>
    <col min="1" max="1" width="4.7109375" style="120" customWidth="1"/>
    <col min="2" max="2" width="5.140625" style="120" customWidth="1"/>
    <col min="3" max="3" width="4.42578125" style="120" customWidth="1"/>
    <col min="4" max="4" width="41.28515625" style="120" customWidth="1"/>
    <col min="5" max="5" width="29.85546875" style="120" customWidth="1"/>
    <col min="6" max="6" width="6.5703125" style="120" hidden="1" customWidth="1"/>
    <col min="7" max="7" width="7.140625" style="120" hidden="1" customWidth="1"/>
    <col min="8" max="8" width="12" style="120" customWidth="1"/>
    <col min="9" max="9" width="6.85546875" style="120" bestFit="1" customWidth="1"/>
    <col min="10" max="10" width="12.28515625" style="120" customWidth="1"/>
    <col min="11" max="11" width="8.7109375" style="120" hidden="1" customWidth="1"/>
    <col min="12" max="12" width="13.140625" style="120" hidden="1" customWidth="1"/>
    <col min="13" max="15" width="11" style="120" hidden="1" customWidth="1"/>
    <col min="16" max="17" width="13.140625" style="120" hidden="1" customWidth="1"/>
    <col min="18" max="18" width="10.5703125" style="120" hidden="1" customWidth="1"/>
    <col min="19" max="19" width="10.42578125" style="120" hidden="1" customWidth="1"/>
    <col min="20" max="20" width="13.140625" style="120" hidden="1" customWidth="1"/>
    <col min="21" max="21" width="11.5703125" style="120" hidden="1" customWidth="1"/>
    <col min="22" max="22" width="7.7109375" style="120" hidden="1" customWidth="1"/>
    <col min="23" max="23" width="7.85546875" style="120" bestFit="1" customWidth="1"/>
    <col min="24" max="24" width="9.5703125" style="120" bestFit="1" customWidth="1"/>
    <col min="25" max="25" width="8.7109375" style="120" bestFit="1" customWidth="1"/>
    <col min="26" max="26" width="9.5703125" style="120" bestFit="1" customWidth="1"/>
    <col min="27" max="27" width="12.5703125" style="120" customWidth="1"/>
    <col min="28" max="28" width="69.5703125" style="120" customWidth="1"/>
    <col min="29" max="16384" width="11.42578125" style="120"/>
  </cols>
  <sheetData>
    <row r="1" spans="2:31" ht="5.25" customHeight="1"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</row>
    <row r="2" spans="2:31" ht="15.75" customHeight="1"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</row>
    <row r="3" spans="2:31" ht="18">
      <c r="B3" s="193"/>
      <c r="C3" s="333" t="s">
        <v>68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</row>
    <row r="4" spans="2:31" ht="15">
      <c r="B4" s="193"/>
      <c r="C4" s="331" t="str">
        <f>SUPERNUMERARIO!D4</f>
        <v>SUELDOS 16 AL 30 DE NOVIEMBRE DE 2016</v>
      </c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</row>
    <row r="5" spans="2:31" ht="15">
      <c r="B5" s="193"/>
      <c r="C5" s="331" t="s">
        <v>69</v>
      </c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</row>
    <row r="6" spans="2:31">
      <c r="C6" s="121"/>
      <c r="D6" s="121"/>
      <c r="E6" s="121"/>
      <c r="F6" s="122" t="s">
        <v>22</v>
      </c>
      <c r="G6" s="122" t="s">
        <v>6</v>
      </c>
      <c r="H6" s="328" t="s">
        <v>1</v>
      </c>
      <c r="I6" s="329"/>
      <c r="J6" s="330"/>
      <c r="K6" s="123"/>
      <c r="L6" s="122" t="s">
        <v>25</v>
      </c>
      <c r="M6" s="124"/>
      <c r="N6" s="328" t="s">
        <v>9</v>
      </c>
      <c r="O6" s="329"/>
      <c r="P6" s="329"/>
      <c r="Q6" s="329"/>
      <c r="R6" s="329"/>
      <c r="S6" s="330"/>
      <c r="T6" s="122" t="s">
        <v>29</v>
      </c>
      <c r="U6" s="122" t="s">
        <v>10</v>
      </c>
      <c r="V6" s="123"/>
      <c r="W6" s="122" t="s">
        <v>53</v>
      </c>
      <c r="X6" s="328" t="s">
        <v>2</v>
      </c>
      <c r="Y6" s="329"/>
      <c r="Z6" s="330"/>
      <c r="AA6" s="122" t="s">
        <v>0</v>
      </c>
      <c r="AB6" s="125"/>
    </row>
    <row r="7" spans="2:31">
      <c r="C7" s="126" t="s">
        <v>21</v>
      </c>
      <c r="D7" s="126"/>
      <c r="E7" s="126"/>
      <c r="F7" s="127" t="s">
        <v>23</v>
      </c>
      <c r="G7" s="128" t="s">
        <v>24</v>
      </c>
      <c r="H7" s="122" t="s">
        <v>6</v>
      </c>
      <c r="I7" s="122" t="s">
        <v>61</v>
      </c>
      <c r="J7" s="122" t="s">
        <v>27</v>
      </c>
      <c r="K7" s="123"/>
      <c r="L7" s="128" t="s">
        <v>26</v>
      </c>
      <c r="M7" s="124" t="s">
        <v>31</v>
      </c>
      <c r="N7" s="124" t="s">
        <v>12</v>
      </c>
      <c r="O7" s="124" t="s">
        <v>33</v>
      </c>
      <c r="P7" s="124" t="s">
        <v>35</v>
      </c>
      <c r="Q7" s="124" t="s">
        <v>36</v>
      </c>
      <c r="R7" s="124" t="s">
        <v>14</v>
      </c>
      <c r="S7" s="124" t="s">
        <v>10</v>
      </c>
      <c r="T7" s="128" t="s">
        <v>39</v>
      </c>
      <c r="U7" s="128" t="s">
        <v>40</v>
      </c>
      <c r="V7" s="123"/>
      <c r="W7" s="128" t="s">
        <v>30</v>
      </c>
      <c r="X7" s="122" t="s">
        <v>3</v>
      </c>
      <c r="Y7" s="122" t="s">
        <v>57</v>
      </c>
      <c r="Z7" s="122" t="s">
        <v>7</v>
      </c>
      <c r="AA7" s="128" t="s">
        <v>4</v>
      </c>
      <c r="AB7" s="129" t="s">
        <v>60</v>
      </c>
    </row>
    <row r="8" spans="2:31" ht="15">
      <c r="C8" s="167"/>
      <c r="D8" s="131"/>
      <c r="E8" s="131" t="s">
        <v>65</v>
      </c>
      <c r="F8" s="128"/>
      <c r="G8" s="128"/>
      <c r="H8" s="128" t="s">
        <v>46</v>
      </c>
      <c r="I8" s="128" t="s">
        <v>62</v>
      </c>
      <c r="J8" s="128" t="s">
        <v>28</v>
      </c>
      <c r="K8" s="123"/>
      <c r="L8" s="128" t="s">
        <v>42</v>
      </c>
      <c r="M8" s="122" t="s">
        <v>32</v>
      </c>
      <c r="N8" s="122" t="s">
        <v>13</v>
      </c>
      <c r="O8" s="122" t="s">
        <v>34</v>
      </c>
      <c r="P8" s="122" t="s">
        <v>34</v>
      </c>
      <c r="Q8" s="122" t="s">
        <v>37</v>
      </c>
      <c r="R8" s="122" t="s">
        <v>15</v>
      </c>
      <c r="S8" s="122" t="s">
        <v>38</v>
      </c>
      <c r="T8" s="128" t="s">
        <v>19</v>
      </c>
      <c r="U8" s="132" t="s">
        <v>235</v>
      </c>
      <c r="V8" s="133"/>
      <c r="W8" s="128" t="s">
        <v>52</v>
      </c>
      <c r="X8" s="128"/>
      <c r="Y8" s="128"/>
      <c r="Z8" s="128" t="s">
        <v>43</v>
      </c>
      <c r="AA8" s="128" t="s">
        <v>5</v>
      </c>
      <c r="AB8" s="134"/>
    </row>
    <row r="9" spans="2:31" ht="15">
      <c r="C9" s="128"/>
      <c r="D9" s="135" t="s">
        <v>134</v>
      </c>
      <c r="E9" s="135" t="s">
        <v>64</v>
      </c>
      <c r="F9" s="124"/>
      <c r="G9" s="124"/>
      <c r="H9" s="124"/>
      <c r="I9" s="124"/>
      <c r="J9" s="124"/>
      <c r="K9" s="136"/>
      <c r="L9" s="124"/>
      <c r="M9" s="124"/>
      <c r="N9" s="124"/>
      <c r="O9" s="124"/>
      <c r="P9" s="124"/>
      <c r="Q9" s="124"/>
      <c r="R9" s="124"/>
      <c r="S9" s="124"/>
      <c r="T9" s="124"/>
      <c r="U9" s="136"/>
      <c r="V9" s="136"/>
      <c r="W9" s="124"/>
      <c r="X9" s="124"/>
      <c r="Y9" s="124"/>
      <c r="Z9" s="124"/>
      <c r="AA9" s="124"/>
      <c r="AB9" s="137"/>
    </row>
    <row r="10" spans="2:31" ht="15">
      <c r="C10" s="126"/>
      <c r="D10" s="139"/>
      <c r="E10" s="139"/>
      <c r="F10" s="138"/>
      <c r="G10" s="138"/>
      <c r="H10" s="138"/>
      <c r="I10" s="138"/>
      <c r="J10" s="138"/>
      <c r="K10" s="140"/>
      <c r="L10" s="138"/>
      <c r="M10" s="138"/>
      <c r="N10" s="138"/>
      <c r="O10" s="138"/>
      <c r="P10" s="138"/>
      <c r="Q10" s="138"/>
      <c r="R10" s="138"/>
      <c r="S10" s="138"/>
      <c r="T10" s="138"/>
      <c r="U10" s="140"/>
      <c r="V10" s="140"/>
      <c r="W10" s="138"/>
      <c r="X10" s="138"/>
      <c r="Y10" s="138"/>
      <c r="Z10" s="138"/>
      <c r="AA10" s="138"/>
      <c r="AB10" s="138"/>
    </row>
    <row r="11" spans="2:31" ht="23.1" customHeight="1">
      <c r="C11" s="51">
        <v>1</v>
      </c>
      <c r="D11" s="105"/>
      <c r="E11" s="50" t="s">
        <v>137</v>
      </c>
      <c r="F11" s="51">
        <v>15</v>
      </c>
      <c r="G11" s="143">
        <f>H11/15</f>
        <v>254.73333333333332</v>
      </c>
      <c r="H11" s="145">
        <v>3821</v>
      </c>
      <c r="I11" s="145">
        <v>0</v>
      </c>
      <c r="J11" s="145">
        <f>TRUNC(SUM(F11*G11)+I11,2)</f>
        <v>3821</v>
      </c>
      <c r="K11" s="146"/>
      <c r="L11" s="147">
        <v>0</v>
      </c>
      <c r="M11" s="147">
        <f>J11</f>
        <v>3821</v>
      </c>
      <c r="N11" s="147">
        <f t="shared" ref="N11:N18" si="0">VLOOKUP(M11,Tarifa1,1)</f>
        <v>3651.01</v>
      </c>
      <c r="O11" s="147">
        <f t="shared" ref="O11:O17" si="1">M11-N11</f>
        <v>169.98999999999978</v>
      </c>
      <c r="P11" s="148">
        <f t="shared" ref="P11:P18" si="2">VLOOKUP(M11,Tarifa1,3)</f>
        <v>0.16</v>
      </c>
      <c r="Q11" s="147">
        <f t="shared" ref="Q11:Q17" si="3">O11*P11</f>
        <v>27.198399999999964</v>
      </c>
      <c r="R11" s="147">
        <f t="shared" ref="R11:R18" si="4">VLOOKUP(M11,Tarifa1,2)</f>
        <v>293.25</v>
      </c>
      <c r="S11" s="147">
        <f t="shared" ref="S11:S17" si="5">Q11+R11</f>
        <v>320.44839999999999</v>
      </c>
      <c r="T11" s="147">
        <f t="shared" ref="T11:T18" si="6">VLOOKUP(M11,Credito1,2)</f>
        <v>0</v>
      </c>
      <c r="U11" s="147">
        <f t="shared" ref="U11:U17" si="7">S11-T11</f>
        <v>320.44839999999999</v>
      </c>
      <c r="V11" s="149"/>
      <c r="W11" s="145">
        <f>-IF(U11&gt;0,0,U11)</f>
        <v>0</v>
      </c>
      <c r="X11" s="150">
        <f>IF(U11&lt;0,0,U11)</f>
        <v>320.44839999999999</v>
      </c>
      <c r="Y11" s="151">
        <v>0</v>
      </c>
      <c r="Z11" s="145">
        <f>SUM(X11:Y11)</f>
        <v>320.44839999999999</v>
      </c>
      <c r="AA11" s="152">
        <f>J11+W11-Z11</f>
        <v>3500.5515999999998</v>
      </c>
      <c r="AB11" s="194"/>
      <c r="AE11" s="181"/>
    </row>
    <row r="12" spans="2:31" ht="23.1" customHeight="1">
      <c r="C12" s="51">
        <v>2</v>
      </c>
      <c r="D12" s="250"/>
      <c r="E12" s="50" t="s">
        <v>135</v>
      </c>
      <c r="F12" s="51">
        <v>15</v>
      </c>
      <c r="G12" s="143">
        <f t="shared" ref="G12:G17" si="8">H12/15</f>
        <v>413.26666666666665</v>
      </c>
      <c r="H12" s="145">
        <v>6199</v>
      </c>
      <c r="I12" s="145">
        <v>0</v>
      </c>
      <c r="J12" s="145">
        <f t="shared" ref="J12:J17" si="9">TRUNC(SUM(F12*G12)+I12,2)</f>
        <v>6199</v>
      </c>
      <c r="K12" s="146"/>
      <c r="L12" s="147">
        <v>0</v>
      </c>
      <c r="M12" s="147">
        <f t="shared" ref="M12:M17" si="10">J12</f>
        <v>6199</v>
      </c>
      <c r="N12" s="147">
        <f t="shared" si="0"/>
        <v>5081.41</v>
      </c>
      <c r="O12" s="147">
        <f t="shared" si="1"/>
        <v>1117.5900000000001</v>
      </c>
      <c r="P12" s="148">
        <f t="shared" si="2"/>
        <v>0.21360000000000001</v>
      </c>
      <c r="Q12" s="147">
        <f t="shared" si="3"/>
        <v>238.71722400000004</v>
      </c>
      <c r="R12" s="147">
        <f t="shared" si="4"/>
        <v>538.20000000000005</v>
      </c>
      <c r="S12" s="147">
        <f t="shared" si="5"/>
        <v>776.91722400000003</v>
      </c>
      <c r="T12" s="147">
        <f t="shared" si="6"/>
        <v>0</v>
      </c>
      <c r="U12" s="147">
        <f t="shared" si="7"/>
        <v>776.91722400000003</v>
      </c>
      <c r="V12" s="149"/>
      <c r="W12" s="145">
        <f t="shared" ref="W12:W17" si="11">-IF(U12&gt;0,0,U12)</f>
        <v>0</v>
      </c>
      <c r="X12" s="150">
        <f t="shared" ref="X12:X17" si="12">IF(U12&lt;0,0,U12)</f>
        <v>776.91722400000003</v>
      </c>
      <c r="Y12" s="151">
        <v>0</v>
      </c>
      <c r="Z12" s="145">
        <f t="shared" ref="Z12:Z17" si="13">SUM(X12:Y12)</f>
        <v>776.91722400000003</v>
      </c>
      <c r="AA12" s="152">
        <f t="shared" ref="AA12:AA17" si="14">J12+W12-Z12</f>
        <v>5422.0827760000002</v>
      </c>
      <c r="AB12" s="194"/>
      <c r="AE12" s="181"/>
    </row>
    <row r="13" spans="2:31" ht="23.1" customHeight="1">
      <c r="C13" s="51">
        <v>3</v>
      </c>
      <c r="D13" s="50"/>
      <c r="E13" s="50" t="s">
        <v>319</v>
      </c>
      <c r="F13" s="51">
        <v>15</v>
      </c>
      <c r="G13" s="143">
        <f t="shared" si="8"/>
        <v>240.66666666666666</v>
      </c>
      <c r="H13" s="145">
        <v>3610</v>
      </c>
      <c r="I13" s="145">
        <v>0</v>
      </c>
      <c r="J13" s="145">
        <f t="shared" si="9"/>
        <v>3610</v>
      </c>
      <c r="K13" s="146"/>
      <c r="L13" s="147">
        <v>0</v>
      </c>
      <c r="M13" s="147">
        <f t="shared" si="10"/>
        <v>3610</v>
      </c>
      <c r="N13" s="147">
        <f t="shared" si="0"/>
        <v>2077.5100000000002</v>
      </c>
      <c r="O13" s="147">
        <f t="shared" si="1"/>
        <v>1532.4899999999998</v>
      </c>
      <c r="P13" s="148">
        <f t="shared" si="2"/>
        <v>0.10879999999999999</v>
      </c>
      <c r="Q13" s="147">
        <f t="shared" si="3"/>
        <v>166.73491199999998</v>
      </c>
      <c r="R13" s="147">
        <f t="shared" si="4"/>
        <v>121.95</v>
      </c>
      <c r="S13" s="147">
        <f t="shared" si="5"/>
        <v>288.684912</v>
      </c>
      <c r="T13" s="147">
        <f t="shared" si="6"/>
        <v>107.4</v>
      </c>
      <c r="U13" s="147">
        <f t="shared" si="7"/>
        <v>181.28491199999999</v>
      </c>
      <c r="V13" s="149"/>
      <c r="W13" s="145">
        <f t="shared" si="11"/>
        <v>0</v>
      </c>
      <c r="X13" s="150">
        <f t="shared" si="12"/>
        <v>181.28491199999999</v>
      </c>
      <c r="Y13" s="151">
        <v>0</v>
      </c>
      <c r="Z13" s="145">
        <f t="shared" si="13"/>
        <v>181.28491199999999</v>
      </c>
      <c r="AA13" s="152">
        <f t="shared" si="14"/>
        <v>3428.7150879999999</v>
      </c>
      <c r="AB13" s="194"/>
      <c r="AE13" s="181"/>
    </row>
    <row r="14" spans="2:31" ht="23.1" customHeight="1">
      <c r="C14" s="51">
        <v>4</v>
      </c>
      <c r="D14" s="244"/>
      <c r="E14" s="244" t="s">
        <v>136</v>
      </c>
      <c r="F14" s="51">
        <v>15</v>
      </c>
      <c r="G14" s="143">
        <f t="shared" si="8"/>
        <v>240.66666666666666</v>
      </c>
      <c r="H14" s="145">
        <v>3610</v>
      </c>
      <c r="I14" s="145">
        <v>0</v>
      </c>
      <c r="J14" s="145">
        <f t="shared" si="9"/>
        <v>3610</v>
      </c>
      <c r="K14" s="146"/>
      <c r="L14" s="147">
        <v>0</v>
      </c>
      <c r="M14" s="147">
        <f t="shared" si="10"/>
        <v>3610</v>
      </c>
      <c r="N14" s="147">
        <f t="shared" si="0"/>
        <v>2077.5100000000002</v>
      </c>
      <c r="O14" s="147">
        <f t="shared" si="1"/>
        <v>1532.4899999999998</v>
      </c>
      <c r="P14" s="148">
        <f t="shared" si="2"/>
        <v>0.10879999999999999</v>
      </c>
      <c r="Q14" s="147">
        <f t="shared" si="3"/>
        <v>166.73491199999998</v>
      </c>
      <c r="R14" s="147">
        <f t="shared" si="4"/>
        <v>121.95</v>
      </c>
      <c r="S14" s="147">
        <f t="shared" si="5"/>
        <v>288.684912</v>
      </c>
      <c r="T14" s="147">
        <f t="shared" si="6"/>
        <v>107.4</v>
      </c>
      <c r="U14" s="147">
        <f t="shared" si="7"/>
        <v>181.28491199999999</v>
      </c>
      <c r="V14" s="149"/>
      <c r="W14" s="145">
        <f t="shared" si="11"/>
        <v>0</v>
      </c>
      <c r="X14" s="150">
        <f t="shared" si="12"/>
        <v>181.28491199999999</v>
      </c>
      <c r="Y14" s="151">
        <v>0</v>
      </c>
      <c r="Z14" s="145">
        <f t="shared" si="13"/>
        <v>181.28491199999999</v>
      </c>
      <c r="AA14" s="152">
        <f t="shared" si="14"/>
        <v>3428.7150879999999</v>
      </c>
      <c r="AB14" s="194"/>
    </row>
    <row r="15" spans="2:31" ht="23.1" customHeight="1">
      <c r="C15" s="51">
        <v>5</v>
      </c>
      <c r="D15" s="244"/>
      <c r="E15" s="50" t="s">
        <v>136</v>
      </c>
      <c r="F15" s="51">
        <v>15</v>
      </c>
      <c r="G15" s="143">
        <f t="shared" si="8"/>
        <v>240.66666666666666</v>
      </c>
      <c r="H15" s="145">
        <v>3610</v>
      </c>
      <c r="I15" s="145">
        <v>0</v>
      </c>
      <c r="J15" s="145">
        <f t="shared" si="9"/>
        <v>3610</v>
      </c>
      <c r="K15" s="146"/>
      <c r="L15" s="147">
        <v>0</v>
      </c>
      <c r="M15" s="147">
        <f t="shared" si="10"/>
        <v>3610</v>
      </c>
      <c r="N15" s="147">
        <f t="shared" si="0"/>
        <v>2077.5100000000002</v>
      </c>
      <c r="O15" s="147">
        <f t="shared" si="1"/>
        <v>1532.4899999999998</v>
      </c>
      <c r="P15" s="148">
        <f t="shared" si="2"/>
        <v>0.10879999999999999</v>
      </c>
      <c r="Q15" s="147">
        <f t="shared" si="3"/>
        <v>166.73491199999998</v>
      </c>
      <c r="R15" s="147">
        <f t="shared" si="4"/>
        <v>121.95</v>
      </c>
      <c r="S15" s="147">
        <f t="shared" si="5"/>
        <v>288.684912</v>
      </c>
      <c r="T15" s="147">
        <f t="shared" si="6"/>
        <v>107.4</v>
      </c>
      <c r="U15" s="147">
        <f t="shared" si="7"/>
        <v>181.28491199999999</v>
      </c>
      <c r="V15" s="149"/>
      <c r="W15" s="145">
        <f t="shared" si="11"/>
        <v>0</v>
      </c>
      <c r="X15" s="150">
        <f t="shared" si="12"/>
        <v>181.28491199999999</v>
      </c>
      <c r="Y15" s="151">
        <v>0</v>
      </c>
      <c r="Z15" s="145">
        <f t="shared" si="13"/>
        <v>181.28491199999999</v>
      </c>
      <c r="AA15" s="152">
        <f t="shared" si="14"/>
        <v>3428.7150879999999</v>
      </c>
      <c r="AB15" s="194"/>
    </row>
    <row r="16" spans="2:31" ht="23.1" customHeight="1">
      <c r="C16" s="51">
        <v>6</v>
      </c>
      <c r="D16" s="244"/>
      <c r="E16" s="50" t="s">
        <v>136</v>
      </c>
      <c r="F16" s="51">
        <v>15</v>
      </c>
      <c r="G16" s="143">
        <f t="shared" si="8"/>
        <v>240.66666666666666</v>
      </c>
      <c r="H16" s="145">
        <v>3610</v>
      </c>
      <c r="I16" s="145">
        <v>0</v>
      </c>
      <c r="J16" s="145">
        <f t="shared" si="9"/>
        <v>3610</v>
      </c>
      <c r="K16" s="146"/>
      <c r="L16" s="147">
        <v>0</v>
      </c>
      <c r="M16" s="147">
        <f t="shared" si="10"/>
        <v>3610</v>
      </c>
      <c r="N16" s="147">
        <f t="shared" si="0"/>
        <v>2077.5100000000002</v>
      </c>
      <c r="O16" s="147">
        <f t="shared" si="1"/>
        <v>1532.4899999999998</v>
      </c>
      <c r="P16" s="148">
        <f t="shared" si="2"/>
        <v>0.10879999999999999</v>
      </c>
      <c r="Q16" s="147">
        <f t="shared" si="3"/>
        <v>166.73491199999998</v>
      </c>
      <c r="R16" s="147">
        <f t="shared" si="4"/>
        <v>121.95</v>
      </c>
      <c r="S16" s="147">
        <f t="shared" si="5"/>
        <v>288.684912</v>
      </c>
      <c r="T16" s="147">
        <f t="shared" si="6"/>
        <v>107.4</v>
      </c>
      <c r="U16" s="147">
        <f t="shared" si="7"/>
        <v>181.28491199999999</v>
      </c>
      <c r="V16" s="149"/>
      <c r="W16" s="145">
        <f t="shared" si="11"/>
        <v>0</v>
      </c>
      <c r="X16" s="150">
        <f t="shared" si="12"/>
        <v>181.28491199999999</v>
      </c>
      <c r="Y16" s="151">
        <v>0</v>
      </c>
      <c r="Z16" s="145">
        <f t="shared" si="13"/>
        <v>181.28491199999999</v>
      </c>
      <c r="AA16" s="152">
        <f t="shared" si="14"/>
        <v>3428.7150879999999</v>
      </c>
      <c r="AB16" s="194"/>
    </row>
    <row r="17" spans="3:28" ht="23.1" customHeight="1">
      <c r="C17" s="51">
        <v>7</v>
      </c>
      <c r="D17" s="209"/>
      <c r="E17" s="50" t="s">
        <v>136</v>
      </c>
      <c r="F17" s="51">
        <v>15</v>
      </c>
      <c r="G17" s="143">
        <f t="shared" si="8"/>
        <v>240.66666666666666</v>
      </c>
      <c r="H17" s="145">
        <v>3610</v>
      </c>
      <c r="I17" s="145">
        <v>0</v>
      </c>
      <c r="J17" s="145">
        <f t="shared" si="9"/>
        <v>3610</v>
      </c>
      <c r="K17" s="146"/>
      <c r="L17" s="147">
        <v>0</v>
      </c>
      <c r="M17" s="147">
        <f t="shared" si="10"/>
        <v>3610</v>
      </c>
      <c r="N17" s="147">
        <f t="shared" si="0"/>
        <v>2077.5100000000002</v>
      </c>
      <c r="O17" s="147">
        <f t="shared" si="1"/>
        <v>1532.4899999999998</v>
      </c>
      <c r="P17" s="148">
        <f t="shared" si="2"/>
        <v>0.10879999999999999</v>
      </c>
      <c r="Q17" s="147">
        <f t="shared" si="3"/>
        <v>166.73491199999998</v>
      </c>
      <c r="R17" s="147">
        <f t="shared" si="4"/>
        <v>121.95</v>
      </c>
      <c r="S17" s="147">
        <f t="shared" si="5"/>
        <v>288.684912</v>
      </c>
      <c r="T17" s="147">
        <f t="shared" si="6"/>
        <v>107.4</v>
      </c>
      <c r="U17" s="147">
        <f t="shared" si="7"/>
        <v>181.28491199999999</v>
      </c>
      <c r="V17" s="149"/>
      <c r="W17" s="145">
        <f t="shared" si="11"/>
        <v>0</v>
      </c>
      <c r="X17" s="150">
        <f t="shared" si="12"/>
        <v>181.28491199999999</v>
      </c>
      <c r="Y17" s="151">
        <v>0</v>
      </c>
      <c r="Z17" s="145">
        <f t="shared" si="13"/>
        <v>181.28491199999999</v>
      </c>
      <c r="AA17" s="152">
        <f t="shared" si="14"/>
        <v>3428.7150879999999</v>
      </c>
      <c r="AB17" s="194"/>
    </row>
    <row r="18" spans="3:28" ht="23.1" customHeight="1">
      <c r="C18" s="51">
        <v>8</v>
      </c>
      <c r="D18" s="250"/>
      <c r="E18" s="50" t="s">
        <v>136</v>
      </c>
      <c r="F18" s="51">
        <v>15</v>
      </c>
      <c r="G18" s="143">
        <f>H18/15</f>
        <v>240.66666666666666</v>
      </c>
      <c r="H18" s="145">
        <v>3610</v>
      </c>
      <c r="I18" s="145">
        <v>0</v>
      </c>
      <c r="J18" s="145">
        <f>TRUNC(SUM(F18*G18)+I18,2)</f>
        <v>3610</v>
      </c>
      <c r="K18" s="146"/>
      <c r="L18" s="147">
        <v>0</v>
      </c>
      <c r="M18" s="147">
        <f>J18</f>
        <v>3610</v>
      </c>
      <c r="N18" s="147">
        <f t="shared" si="0"/>
        <v>2077.5100000000002</v>
      </c>
      <c r="O18" s="147">
        <f>M18-N18</f>
        <v>1532.4899999999998</v>
      </c>
      <c r="P18" s="148">
        <f t="shared" si="2"/>
        <v>0.10879999999999999</v>
      </c>
      <c r="Q18" s="147">
        <f>O18*P18</f>
        <v>166.73491199999998</v>
      </c>
      <c r="R18" s="147">
        <f t="shared" si="4"/>
        <v>121.95</v>
      </c>
      <c r="S18" s="147">
        <f>Q18+R18</f>
        <v>288.684912</v>
      </c>
      <c r="T18" s="147">
        <f t="shared" si="6"/>
        <v>107.4</v>
      </c>
      <c r="U18" s="147">
        <f>S18-T18</f>
        <v>181.28491199999999</v>
      </c>
      <c r="V18" s="149"/>
      <c r="W18" s="145">
        <f>-IF(U18&gt;0,0,U18)</f>
        <v>0</v>
      </c>
      <c r="X18" s="150">
        <f>IF(U18&lt;0,0,U18)</f>
        <v>181.28491199999999</v>
      </c>
      <c r="Y18" s="151">
        <v>0</v>
      </c>
      <c r="Z18" s="145">
        <f>SUM(X18:Y18)</f>
        <v>181.28491199999999</v>
      </c>
      <c r="AA18" s="152">
        <f t="shared" ref="AA18:AA29" si="15">J18+W18-Z18</f>
        <v>3428.7150879999999</v>
      </c>
      <c r="AB18" s="194"/>
    </row>
    <row r="19" spans="3:28" ht="23.1" customHeight="1">
      <c r="C19" s="51">
        <v>9</v>
      </c>
      <c r="D19" s="244"/>
      <c r="E19" s="50" t="s">
        <v>136</v>
      </c>
      <c r="F19" s="51">
        <v>15</v>
      </c>
      <c r="G19" s="143">
        <f>H19/15</f>
        <v>240.66666666666666</v>
      </c>
      <c r="H19" s="145">
        <v>3610</v>
      </c>
      <c r="I19" s="145">
        <v>0</v>
      </c>
      <c r="J19" s="145">
        <f>TRUNC(SUM(F19*G19)+I19,2)</f>
        <v>3610</v>
      </c>
      <c r="K19" s="146"/>
      <c r="L19" s="147">
        <v>0</v>
      </c>
      <c r="M19" s="147">
        <f>J19</f>
        <v>3610</v>
      </c>
      <c r="N19" s="147">
        <f>VLOOKUP(M19,Tarifa1,1)</f>
        <v>2077.5100000000002</v>
      </c>
      <c r="O19" s="147">
        <f>M19-N19</f>
        <v>1532.4899999999998</v>
      </c>
      <c r="P19" s="148">
        <f>VLOOKUP(M19,Tarifa1,3)</f>
        <v>0.10879999999999999</v>
      </c>
      <c r="Q19" s="147">
        <f>O19*P19</f>
        <v>166.73491199999998</v>
      </c>
      <c r="R19" s="147">
        <f>VLOOKUP(M19,Tarifa1,2)</f>
        <v>121.95</v>
      </c>
      <c r="S19" s="147">
        <f>Q19+R19</f>
        <v>288.684912</v>
      </c>
      <c r="T19" s="147">
        <f>VLOOKUP(M19,Credito1,2)</f>
        <v>107.4</v>
      </c>
      <c r="U19" s="147">
        <f>S19-T19</f>
        <v>181.28491199999999</v>
      </c>
      <c r="V19" s="149"/>
      <c r="W19" s="145">
        <f>-IF(U19&gt;0,0,U19)</f>
        <v>0</v>
      </c>
      <c r="X19" s="150">
        <f>IF(U19&lt;0,0,U19)</f>
        <v>181.28491199999999</v>
      </c>
      <c r="Y19" s="151">
        <v>0</v>
      </c>
      <c r="Z19" s="145">
        <f>SUM(X19:Y19)</f>
        <v>181.28491199999999</v>
      </c>
      <c r="AA19" s="152">
        <f t="shared" si="15"/>
        <v>3428.7150879999999</v>
      </c>
      <c r="AB19" s="194"/>
    </row>
    <row r="20" spans="3:28" ht="23.1" customHeight="1">
      <c r="C20" s="51">
        <v>10</v>
      </c>
      <c r="D20" s="250"/>
      <c r="E20" s="244" t="s">
        <v>136</v>
      </c>
      <c r="F20" s="51">
        <v>15</v>
      </c>
      <c r="G20" s="143">
        <f>H20/15</f>
        <v>240.66666666666666</v>
      </c>
      <c r="H20" s="145">
        <v>3610</v>
      </c>
      <c r="I20" s="145">
        <v>0</v>
      </c>
      <c r="J20" s="145">
        <f>TRUNC(SUM(F20*G20)+I20,2)</f>
        <v>3610</v>
      </c>
      <c r="K20" s="146"/>
      <c r="L20" s="147">
        <v>0</v>
      </c>
      <c r="M20" s="147">
        <f>J20</f>
        <v>3610</v>
      </c>
      <c r="N20" s="147">
        <f>VLOOKUP(M20,Tarifa1,1)</f>
        <v>2077.5100000000002</v>
      </c>
      <c r="O20" s="147">
        <f>M20-N20</f>
        <v>1532.4899999999998</v>
      </c>
      <c r="P20" s="148">
        <f>VLOOKUP(M20,Tarifa1,3)</f>
        <v>0.10879999999999999</v>
      </c>
      <c r="Q20" s="147">
        <f>O20*P20</f>
        <v>166.73491199999998</v>
      </c>
      <c r="R20" s="147">
        <f>VLOOKUP(M20,Tarifa1,2)</f>
        <v>121.95</v>
      </c>
      <c r="S20" s="147">
        <f>Q20+R20</f>
        <v>288.684912</v>
      </c>
      <c r="T20" s="147">
        <f>VLOOKUP(M20,Credito1,2)</f>
        <v>107.4</v>
      </c>
      <c r="U20" s="147">
        <f>S20-T20</f>
        <v>181.28491199999999</v>
      </c>
      <c r="V20" s="149"/>
      <c r="W20" s="145">
        <f>-IF(U20&gt;0,0,U20)</f>
        <v>0</v>
      </c>
      <c r="X20" s="150">
        <f>IF(U20&lt;0,0,U20)</f>
        <v>181.28491199999999</v>
      </c>
      <c r="Y20" s="151">
        <v>0</v>
      </c>
      <c r="Z20" s="145">
        <f>SUM(X20:Y20)</f>
        <v>181.28491199999999</v>
      </c>
      <c r="AA20" s="152">
        <f t="shared" si="15"/>
        <v>3428.7150879999999</v>
      </c>
      <c r="AB20" s="194"/>
    </row>
    <row r="21" spans="3:28" ht="23.1" customHeight="1">
      <c r="C21" s="51">
        <v>11</v>
      </c>
      <c r="D21" s="250"/>
      <c r="E21" s="244" t="s">
        <v>136</v>
      </c>
      <c r="F21" s="51">
        <v>15</v>
      </c>
      <c r="G21" s="143">
        <f>H21/15</f>
        <v>240.66666666666666</v>
      </c>
      <c r="H21" s="145">
        <v>3610</v>
      </c>
      <c r="I21" s="145">
        <v>0</v>
      </c>
      <c r="J21" s="145">
        <f>TRUNC(SUM(F21*G21)+I21,2)</f>
        <v>3610</v>
      </c>
      <c r="K21" s="146"/>
      <c r="L21" s="147">
        <v>0</v>
      </c>
      <c r="M21" s="147">
        <f>J21</f>
        <v>3610</v>
      </c>
      <c r="N21" s="147">
        <f>VLOOKUP(M21,Tarifa1,1)</f>
        <v>2077.5100000000002</v>
      </c>
      <c r="O21" s="147">
        <f>M21-N21</f>
        <v>1532.4899999999998</v>
      </c>
      <c r="P21" s="148">
        <f>VLOOKUP(M21,Tarifa1,3)</f>
        <v>0.10879999999999999</v>
      </c>
      <c r="Q21" s="147">
        <f>O21*P21</f>
        <v>166.73491199999998</v>
      </c>
      <c r="R21" s="147">
        <f>VLOOKUP(M21,Tarifa1,2)</f>
        <v>121.95</v>
      </c>
      <c r="S21" s="147">
        <f>Q21+R21</f>
        <v>288.684912</v>
      </c>
      <c r="T21" s="147">
        <f>VLOOKUP(M21,Credito1,2)</f>
        <v>107.4</v>
      </c>
      <c r="U21" s="147">
        <f>S21-T21</f>
        <v>181.28491199999999</v>
      </c>
      <c r="V21" s="149"/>
      <c r="W21" s="145">
        <f>-IF(U21&gt;0,0,U21)</f>
        <v>0</v>
      </c>
      <c r="X21" s="150">
        <f>IF(U21&lt;0,0,U21)</f>
        <v>181.28491199999999</v>
      </c>
      <c r="Y21" s="151">
        <v>0</v>
      </c>
      <c r="Z21" s="145">
        <f>SUM(X21:Y21)</f>
        <v>181.28491199999999</v>
      </c>
      <c r="AA21" s="152">
        <f t="shared" si="15"/>
        <v>3428.7150879999999</v>
      </c>
      <c r="AB21" s="194"/>
    </row>
    <row r="22" spans="3:28" ht="23.1" customHeight="1">
      <c r="C22" s="51">
        <v>12</v>
      </c>
      <c r="D22" s="279"/>
      <c r="E22" s="244" t="s">
        <v>136</v>
      </c>
      <c r="F22" s="51">
        <v>15</v>
      </c>
      <c r="G22" s="143">
        <f>H22/15</f>
        <v>240.66666666666666</v>
      </c>
      <c r="H22" s="145">
        <v>3610</v>
      </c>
      <c r="I22" s="145">
        <v>0</v>
      </c>
      <c r="J22" s="145">
        <f>TRUNC(SUM(F22*G22)+I22,2)</f>
        <v>3610</v>
      </c>
      <c r="K22" s="146"/>
      <c r="L22" s="147">
        <v>0</v>
      </c>
      <c r="M22" s="147">
        <f>J22</f>
        <v>3610</v>
      </c>
      <c r="N22" s="147">
        <f>VLOOKUP(M22,Tarifa1,1)</f>
        <v>2077.5100000000002</v>
      </c>
      <c r="O22" s="147">
        <f>M22-N22</f>
        <v>1532.4899999999998</v>
      </c>
      <c r="P22" s="148">
        <f>VLOOKUP(M22,Tarifa1,3)</f>
        <v>0.10879999999999999</v>
      </c>
      <c r="Q22" s="147">
        <f>O22*P22</f>
        <v>166.73491199999998</v>
      </c>
      <c r="R22" s="147">
        <f>VLOOKUP(M22,Tarifa1,2)</f>
        <v>121.95</v>
      </c>
      <c r="S22" s="147">
        <f>Q22+R22</f>
        <v>288.684912</v>
      </c>
      <c r="T22" s="147">
        <f>VLOOKUP(M22,Credito1,2)</f>
        <v>107.4</v>
      </c>
      <c r="U22" s="147">
        <f>S22-T22</f>
        <v>181.28491199999999</v>
      </c>
      <c r="V22" s="149"/>
      <c r="W22" s="145">
        <f>-IF(U22&gt;0,0,U22)</f>
        <v>0</v>
      </c>
      <c r="X22" s="150">
        <f>IF(U22&lt;0,0,U22)</f>
        <v>181.28491199999999</v>
      </c>
      <c r="Y22" s="151">
        <v>0</v>
      </c>
      <c r="Z22" s="145">
        <f>SUM(X22:Y22)</f>
        <v>181.28491199999999</v>
      </c>
      <c r="AA22" s="152">
        <f t="shared" si="15"/>
        <v>3428.7150879999999</v>
      </c>
      <c r="AB22" s="194"/>
    </row>
    <row r="23" spans="3:28" ht="23.1" customHeight="1">
      <c r="C23" s="51">
        <v>13</v>
      </c>
      <c r="D23" s="279"/>
      <c r="E23" s="244" t="s">
        <v>136</v>
      </c>
      <c r="F23" s="51"/>
      <c r="G23" s="143"/>
      <c r="H23" s="145">
        <v>3610</v>
      </c>
      <c r="I23" s="145">
        <v>0</v>
      </c>
      <c r="J23" s="145">
        <v>3610</v>
      </c>
      <c r="K23" s="146"/>
      <c r="L23" s="147"/>
      <c r="M23" s="147"/>
      <c r="N23" s="147"/>
      <c r="O23" s="147"/>
      <c r="P23" s="148"/>
      <c r="Q23" s="147"/>
      <c r="R23" s="147"/>
      <c r="S23" s="147"/>
      <c r="T23" s="147"/>
      <c r="U23" s="147"/>
      <c r="V23" s="149"/>
      <c r="W23" s="145">
        <v>0</v>
      </c>
      <c r="X23" s="150">
        <v>181.28</v>
      </c>
      <c r="Y23" s="151">
        <v>0</v>
      </c>
      <c r="Z23" s="145">
        <v>181.28</v>
      </c>
      <c r="AA23" s="152">
        <f t="shared" si="15"/>
        <v>3428.72</v>
      </c>
      <c r="AB23" s="194"/>
    </row>
    <row r="24" spans="3:28" ht="23.1" customHeight="1">
      <c r="C24" s="51">
        <v>14</v>
      </c>
      <c r="D24" s="320"/>
      <c r="E24" s="244" t="s">
        <v>136</v>
      </c>
      <c r="F24" s="51"/>
      <c r="G24" s="143"/>
      <c r="H24" s="145">
        <v>3610</v>
      </c>
      <c r="I24" s="145">
        <v>0</v>
      </c>
      <c r="J24" s="145">
        <v>3610</v>
      </c>
      <c r="K24" s="146"/>
      <c r="L24" s="147"/>
      <c r="M24" s="147"/>
      <c r="N24" s="147"/>
      <c r="O24" s="147"/>
      <c r="P24" s="148"/>
      <c r="Q24" s="147"/>
      <c r="R24" s="147"/>
      <c r="S24" s="147"/>
      <c r="T24" s="147"/>
      <c r="U24" s="147"/>
      <c r="V24" s="149"/>
      <c r="W24" s="145">
        <v>0</v>
      </c>
      <c r="X24" s="150">
        <v>181.28</v>
      </c>
      <c r="Y24" s="151">
        <v>0</v>
      </c>
      <c r="Z24" s="145">
        <v>181.28</v>
      </c>
      <c r="AA24" s="152">
        <f t="shared" si="15"/>
        <v>3428.72</v>
      </c>
      <c r="AB24" s="194"/>
    </row>
    <row r="25" spans="3:28" ht="23.1" customHeight="1">
      <c r="C25" s="51">
        <v>15</v>
      </c>
      <c r="D25" s="250"/>
      <c r="E25" s="244" t="s">
        <v>136</v>
      </c>
      <c r="F25" s="51"/>
      <c r="G25" s="143"/>
      <c r="H25" s="145">
        <v>3610</v>
      </c>
      <c r="I25" s="145">
        <v>0</v>
      </c>
      <c r="J25" s="145">
        <v>3610</v>
      </c>
      <c r="K25" s="146"/>
      <c r="L25" s="147"/>
      <c r="M25" s="147"/>
      <c r="N25" s="147"/>
      <c r="O25" s="147"/>
      <c r="P25" s="148"/>
      <c r="Q25" s="147"/>
      <c r="R25" s="147"/>
      <c r="S25" s="147"/>
      <c r="T25" s="147"/>
      <c r="U25" s="147"/>
      <c r="V25" s="149"/>
      <c r="W25" s="145">
        <v>0</v>
      </c>
      <c r="X25" s="150">
        <v>181.28</v>
      </c>
      <c r="Y25" s="151">
        <v>0</v>
      </c>
      <c r="Z25" s="145">
        <v>181.28</v>
      </c>
      <c r="AA25" s="152">
        <f t="shared" si="15"/>
        <v>3428.72</v>
      </c>
      <c r="AB25" s="194"/>
    </row>
    <row r="26" spans="3:28" ht="23.1" customHeight="1">
      <c r="C26" s="51">
        <v>16</v>
      </c>
      <c r="D26" s="250"/>
      <c r="E26" s="244" t="s">
        <v>136</v>
      </c>
      <c r="F26" s="51"/>
      <c r="G26" s="143"/>
      <c r="H26" s="145">
        <v>3610</v>
      </c>
      <c r="I26" s="145">
        <v>0</v>
      </c>
      <c r="J26" s="145">
        <v>3610</v>
      </c>
      <c r="K26" s="146"/>
      <c r="L26" s="147"/>
      <c r="M26" s="147"/>
      <c r="N26" s="147"/>
      <c r="O26" s="147"/>
      <c r="P26" s="148"/>
      <c r="Q26" s="147"/>
      <c r="R26" s="147"/>
      <c r="S26" s="147"/>
      <c r="T26" s="147"/>
      <c r="U26" s="147"/>
      <c r="V26" s="149"/>
      <c r="W26" s="145">
        <v>0</v>
      </c>
      <c r="X26" s="150">
        <v>181.28</v>
      </c>
      <c r="Y26" s="151">
        <v>0</v>
      </c>
      <c r="Z26" s="145">
        <v>181.28</v>
      </c>
      <c r="AA26" s="152">
        <f t="shared" si="15"/>
        <v>3428.72</v>
      </c>
      <c r="AB26" s="194"/>
    </row>
    <row r="27" spans="3:28" ht="23.1" customHeight="1">
      <c r="C27" s="51">
        <v>17</v>
      </c>
      <c r="D27" s="250"/>
      <c r="E27" s="244" t="s">
        <v>136</v>
      </c>
      <c r="F27" s="51"/>
      <c r="G27" s="143"/>
      <c r="H27" s="145">
        <v>3610</v>
      </c>
      <c r="I27" s="145">
        <v>0</v>
      </c>
      <c r="J27" s="145">
        <v>3610</v>
      </c>
      <c r="K27" s="146"/>
      <c r="L27" s="147"/>
      <c r="M27" s="147"/>
      <c r="N27" s="147"/>
      <c r="O27" s="147"/>
      <c r="P27" s="148"/>
      <c r="Q27" s="147"/>
      <c r="R27" s="147"/>
      <c r="S27" s="147"/>
      <c r="T27" s="147"/>
      <c r="U27" s="147"/>
      <c r="V27" s="149"/>
      <c r="W27" s="145">
        <v>0</v>
      </c>
      <c r="X27" s="150">
        <v>181.28</v>
      </c>
      <c r="Y27" s="151">
        <v>0</v>
      </c>
      <c r="Z27" s="145">
        <v>181.28</v>
      </c>
      <c r="AA27" s="152">
        <f t="shared" si="15"/>
        <v>3428.72</v>
      </c>
      <c r="AB27" s="194"/>
    </row>
    <row r="28" spans="3:28" ht="23.1" customHeight="1">
      <c r="C28" s="51">
        <v>18</v>
      </c>
      <c r="D28" s="250"/>
      <c r="E28" s="244" t="s">
        <v>136</v>
      </c>
      <c r="F28" s="51"/>
      <c r="G28" s="143"/>
      <c r="H28" s="145">
        <v>3610</v>
      </c>
      <c r="I28" s="145">
        <v>0</v>
      </c>
      <c r="J28" s="145">
        <v>3610</v>
      </c>
      <c r="K28" s="146"/>
      <c r="L28" s="147"/>
      <c r="M28" s="147"/>
      <c r="N28" s="147"/>
      <c r="O28" s="147"/>
      <c r="P28" s="148"/>
      <c r="Q28" s="147"/>
      <c r="R28" s="147"/>
      <c r="S28" s="147"/>
      <c r="T28" s="147"/>
      <c r="U28" s="147"/>
      <c r="V28" s="149"/>
      <c r="W28" s="145">
        <v>0</v>
      </c>
      <c r="X28" s="150">
        <v>181.28</v>
      </c>
      <c r="Y28" s="151">
        <v>0</v>
      </c>
      <c r="Z28" s="145">
        <v>181.28</v>
      </c>
      <c r="AA28" s="152">
        <f t="shared" si="15"/>
        <v>3428.72</v>
      </c>
      <c r="AB28" s="194"/>
    </row>
    <row r="29" spans="3:28" ht="23.1" customHeight="1">
      <c r="C29" s="51">
        <v>19</v>
      </c>
      <c r="D29" s="250"/>
      <c r="E29" s="244" t="s">
        <v>137</v>
      </c>
      <c r="F29" s="51"/>
      <c r="G29" s="143"/>
      <c r="H29" s="145">
        <v>3821</v>
      </c>
      <c r="I29" s="145">
        <v>0</v>
      </c>
      <c r="J29" s="145">
        <v>3821</v>
      </c>
      <c r="K29" s="146"/>
      <c r="L29" s="147">
        <v>0</v>
      </c>
      <c r="M29" s="147">
        <f>J29</f>
        <v>3821</v>
      </c>
      <c r="N29" s="147">
        <f>VLOOKUP(M29,Tarifa1,1)</f>
        <v>3651.01</v>
      </c>
      <c r="O29" s="147">
        <f>M29-N29</f>
        <v>169.98999999999978</v>
      </c>
      <c r="P29" s="148">
        <f>VLOOKUP(M29,Tarifa1,3)</f>
        <v>0.16</v>
      </c>
      <c r="Q29" s="147">
        <f>O29*P29</f>
        <v>27.198399999999964</v>
      </c>
      <c r="R29" s="147">
        <f>VLOOKUP(M29,Tarifa1,2)</f>
        <v>293.25</v>
      </c>
      <c r="S29" s="147">
        <f>Q29+R29</f>
        <v>320.44839999999999</v>
      </c>
      <c r="T29" s="147">
        <f>VLOOKUP(M29,Credito1,2)</f>
        <v>0</v>
      </c>
      <c r="U29" s="147">
        <f>S29-T29</f>
        <v>320.44839999999999</v>
      </c>
      <c r="V29" s="149"/>
      <c r="W29" s="145">
        <f>-IF(U29&gt;0,0,U29)</f>
        <v>0</v>
      </c>
      <c r="X29" s="150">
        <f>IF(U29&lt;0,0,U29)</f>
        <v>320.44839999999999</v>
      </c>
      <c r="Y29" s="151">
        <v>0</v>
      </c>
      <c r="Z29" s="145">
        <f>SUM(X29:Y29)</f>
        <v>320.44839999999999</v>
      </c>
      <c r="AA29" s="152">
        <f t="shared" si="15"/>
        <v>3500.5515999999998</v>
      </c>
      <c r="AB29" s="194"/>
    </row>
    <row r="30" spans="3:28" ht="23.1" customHeight="1">
      <c r="C30" s="51">
        <v>20</v>
      </c>
      <c r="D30" s="250"/>
      <c r="E30" s="244" t="s">
        <v>136</v>
      </c>
      <c r="F30" s="51"/>
      <c r="G30" s="143"/>
      <c r="H30" s="145">
        <v>3610</v>
      </c>
      <c r="I30" s="145">
        <v>0</v>
      </c>
      <c r="J30" s="145">
        <v>3610</v>
      </c>
      <c r="K30" s="146"/>
      <c r="L30" s="147"/>
      <c r="M30" s="147"/>
      <c r="N30" s="147"/>
      <c r="O30" s="147"/>
      <c r="P30" s="148"/>
      <c r="Q30" s="147"/>
      <c r="R30" s="147"/>
      <c r="S30" s="147"/>
      <c r="T30" s="147"/>
      <c r="U30" s="147"/>
      <c r="V30" s="149"/>
      <c r="W30" s="145">
        <v>0</v>
      </c>
      <c r="X30" s="150">
        <v>181.28</v>
      </c>
      <c r="Y30" s="151">
        <v>0</v>
      </c>
      <c r="Z30" s="145">
        <v>181.28</v>
      </c>
      <c r="AA30" s="152">
        <v>3428.72</v>
      </c>
      <c r="AB30" s="194"/>
    </row>
    <row r="31" spans="3:28" ht="23.1" customHeight="1">
      <c r="C31" s="51"/>
      <c r="D31" s="250"/>
      <c r="E31" s="244"/>
      <c r="F31" s="51"/>
      <c r="G31" s="143"/>
      <c r="H31" s="145"/>
      <c r="I31" s="145"/>
      <c r="J31" s="145"/>
      <c r="K31" s="146"/>
      <c r="L31" s="147"/>
      <c r="M31" s="147"/>
      <c r="N31" s="147"/>
      <c r="O31" s="147"/>
      <c r="P31" s="148"/>
      <c r="Q31" s="147"/>
      <c r="R31" s="147"/>
      <c r="S31" s="147"/>
      <c r="T31" s="147"/>
      <c r="U31" s="147"/>
      <c r="V31" s="149"/>
      <c r="W31" s="145"/>
      <c r="X31" s="150"/>
      <c r="Y31" s="151"/>
      <c r="Z31" s="145"/>
      <c r="AA31" s="152"/>
      <c r="AB31" s="194"/>
    </row>
    <row r="32" spans="3:28" ht="23.1" customHeight="1">
      <c r="C32" s="51"/>
      <c r="D32" s="250"/>
      <c r="E32" s="244"/>
      <c r="F32" s="51"/>
      <c r="G32" s="143"/>
      <c r="H32" s="145"/>
      <c r="I32" s="145"/>
      <c r="J32" s="145"/>
      <c r="K32" s="146"/>
      <c r="L32" s="147"/>
      <c r="M32" s="147"/>
      <c r="N32" s="147"/>
      <c r="O32" s="147"/>
      <c r="P32" s="148"/>
      <c r="Q32" s="147"/>
      <c r="R32" s="147"/>
      <c r="S32" s="147"/>
      <c r="T32" s="147"/>
      <c r="U32" s="147"/>
      <c r="V32" s="149"/>
      <c r="W32" s="145"/>
      <c r="X32" s="150"/>
      <c r="Y32" s="151"/>
      <c r="Z32" s="145"/>
      <c r="AA32" s="152"/>
      <c r="AB32" s="194"/>
    </row>
    <row r="33" spans="3:28" ht="23.1" customHeight="1">
      <c r="C33" s="51"/>
      <c r="D33" s="250"/>
      <c r="E33" s="244"/>
      <c r="F33" s="51"/>
      <c r="G33" s="143"/>
      <c r="H33" s="145"/>
      <c r="I33" s="145"/>
      <c r="J33" s="145"/>
      <c r="K33" s="146"/>
      <c r="L33" s="147"/>
      <c r="M33" s="147"/>
      <c r="N33" s="147"/>
      <c r="O33" s="147"/>
      <c r="P33" s="148"/>
      <c r="Q33" s="147"/>
      <c r="R33" s="147"/>
      <c r="S33" s="147"/>
      <c r="T33" s="147"/>
      <c r="U33" s="147"/>
      <c r="V33" s="149"/>
      <c r="W33" s="145"/>
      <c r="X33" s="150"/>
      <c r="Y33" s="151"/>
      <c r="Z33" s="145"/>
      <c r="AA33" s="152"/>
      <c r="AB33" s="194"/>
    </row>
    <row r="34" spans="3:28">
      <c r="C34" s="195"/>
      <c r="D34" s="155"/>
      <c r="E34" s="155"/>
      <c r="F34" s="196"/>
      <c r="G34" s="155"/>
      <c r="H34" s="174"/>
      <c r="I34" s="174"/>
      <c r="J34" s="174"/>
      <c r="K34" s="175"/>
      <c r="L34" s="176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</row>
    <row r="35" spans="3:28" ht="15.75" thickBot="1">
      <c r="C35" s="323" t="s">
        <v>143</v>
      </c>
      <c r="D35" s="324"/>
      <c r="E35" s="324"/>
      <c r="F35" s="324"/>
      <c r="G35" s="325"/>
      <c r="H35" s="178">
        <f>SUM(H10:H33)</f>
        <v>75211</v>
      </c>
      <c r="I35" s="178">
        <f>SUM(I10:I33)</f>
        <v>0</v>
      </c>
      <c r="J35" s="178">
        <f>SUM(J10:J33)</f>
        <v>75211</v>
      </c>
      <c r="K35" s="179"/>
      <c r="L35" s="180"/>
      <c r="M35" s="180"/>
      <c r="N35" s="180"/>
      <c r="O35" s="180"/>
      <c r="P35" s="180"/>
      <c r="Q35" s="180"/>
      <c r="R35" s="180"/>
      <c r="S35" s="180"/>
      <c r="T35" s="180"/>
      <c r="U35" s="180"/>
      <c r="V35" s="179"/>
      <c r="W35" s="178">
        <f>SUM(W10:W33)</f>
        <v>0</v>
      </c>
      <c r="X35" s="178">
        <f>SUM(X10:X33)</f>
        <v>4499.623144000002</v>
      </c>
      <c r="Y35" s="178">
        <f>SUM(Y10:Y33)</f>
        <v>0</v>
      </c>
      <c r="Z35" s="178">
        <f>SUM(Z10:Z33)</f>
        <v>4499.623144000002</v>
      </c>
      <c r="AA35" s="178">
        <f>SUM(AA10:AA33)</f>
        <v>70711.376856000003</v>
      </c>
      <c r="AB35" s="178"/>
    </row>
    <row r="36" spans="3:28" ht="13.5" thickTop="1"/>
    <row r="39" spans="3:28">
      <c r="D39" s="183" t="s">
        <v>255</v>
      </c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20" t="s">
        <v>255</v>
      </c>
      <c r="AB39" s="183"/>
    </row>
    <row r="40" spans="3:28">
      <c r="D40" s="182" t="s">
        <v>237</v>
      </c>
      <c r="W40" s="181"/>
      <c r="X40" s="182" t="s">
        <v>238</v>
      </c>
    </row>
    <row r="41" spans="3:28">
      <c r="D41" s="183" t="s">
        <v>67</v>
      </c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4"/>
      <c r="X41" s="183" t="s">
        <v>239</v>
      </c>
      <c r="AA41" s="181"/>
      <c r="AB41" s="182"/>
    </row>
    <row r="42" spans="3:28">
      <c r="D42" s="190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4"/>
      <c r="AB42" s="183"/>
    </row>
    <row r="46" spans="3:28">
      <c r="D46" s="182"/>
      <c r="H46" s="182"/>
      <c r="AB46" s="182"/>
    </row>
    <row r="47" spans="3:28"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</row>
    <row r="55" spans="3:31" ht="18">
      <c r="C55" s="333" t="s">
        <v>68</v>
      </c>
      <c r="D55" s="333"/>
      <c r="E55" s="333"/>
      <c r="F55" s="333"/>
      <c r="G55" s="333"/>
      <c r="H55" s="333"/>
      <c r="I55" s="333"/>
      <c r="J55" s="333"/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3"/>
      <c r="V55" s="333"/>
      <c r="W55" s="333"/>
      <c r="X55" s="333"/>
      <c r="Y55" s="333"/>
      <c r="Z55" s="333"/>
      <c r="AA55" s="333"/>
      <c r="AB55" s="333"/>
    </row>
    <row r="56" spans="3:31" ht="15">
      <c r="C56" s="331" t="str">
        <f>C4</f>
        <v>SUELDOS 16 AL 30 DE NOVIEMBRE DE 2016</v>
      </c>
      <c r="D56" s="331"/>
      <c r="E56" s="331"/>
      <c r="F56" s="331"/>
      <c r="G56" s="331"/>
      <c r="H56" s="331"/>
      <c r="I56" s="331"/>
      <c r="J56" s="331"/>
      <c r="K56" s="331"/>
      <c r="L56" s="331"/>
      <c r="M56" s="331"/>
      <c r="N56" s="331"/>
      <c r="O56" s="331"/>
      <c r="P56" s="331"/>
      <c r="Q56" s="331"/>
      <c r="R56" s="331"/>
      <c r="S56" s="331"/>
      <c r="T56" s="331"/>
      <c r="U56" s="331"/>
      <c r="V56" s="331"/>
      <c r="W56" s="331"/>
      <c r="X56" s="331"/>
      <c r="Y56" s="331"/>
      <c r="Z56" s="331"/>
      <c r="AA56" s="331"/>
      <c r="AB56" s="331"/>
    </row>
    <row r="57" spans="3:31" ht="15">
      <c r="C57" s="331" t="s">
        <v>69</v>
      </c>
      <c r="D57" s="331"/>
      <c r="E57" s="331"/>
      <c r="F57" s="331"/>
      <c r="G57" s="331"/>
      <c r="H57" s="331"/>
      <c r="I57" s="331"/>
      <c r="J57" s="331"/>
      <c r="K57" s="331"/>
      <c r="L57" s="331"/>
      <c r="M57" s="331"/>
      <c r="N57" s="331"/>
      <c r="O57" s="331"/>
      <c r="P57" s="331"/>
      <c r="Q57" s="331"/>
      <c r="R57" s="331"/>
      <c r="S57" s="331"/>
      <c r="T57" s="331"/>
      <c r="U57" s="331"/>
      <c r="V57" s="331"/>
      <c r="W57" s="331"/>
      <c r="X57" s="331"/>
      <c r="Y57" s="331"/>
      <c r="Z57" s="331"/>
      <c r="AA57" s="331"/>
      <c r="AB57" s="331"/>
    </row>
    <row r="58" spans="3:31">
      <c r="C58" s="121"/>
      <c r="D58" s="121"/>
      <c r="E58" s="121"/>
      <c r="F58" s="122" t="s">
        <v>22</v>
      </c>
      <c r="G58" s="122" t="s">
        <v>6</v>
      </c>
      <c r="H58" s="328" t="s">
        <v>1</v>
      </c>
      <c r="I58" s="329"/>
      <c r="J58" s="330"/>
      <c r="K58" s="123"/>
      <c r="L58" s="122" t="s">
        <v>25</v>
      </c>
      <c r="M58" s="124"/>
      <c r="N58" s="328" t="s">
        <v>9</v>
      </c>
      <c r="O58" s="329"/>
      <c r="P58" s="329"/>
      <c r="Q58" s="329"/>
      <c r="R58" s="329"/>
      <c r="S58" s="330"/>
      <c r="T58" s="122" t="s">
        <v>29</v>
      </c>
      <c r="U58" s="122" t="s">
        <v>10</v>
      </c>
      <c r="V58" s="123"/>
      <c r="W58" s="122" t="s">
        <v>53</v>
      </c>
      <c r="X58" s="328" t="s">
        <v>2</v>
      </c>
      <c r="Y58" s="329"/>
      <c r="Z58" s="330"/>
      <c r="AA58" s="122" t="s">
        <v>0</v>
      </c>
      <c r="AB58" s="125"/>
    </row>
    <row r="59" spans="3:31">
      <c r="C59" s="126" t="s">
        <v>21</v>
      </c>
      <c r="D59" s="126"/>
      <c r="E59" s="126"/>
      <c r="F59" s="127" t="s">
        <v>23</v>
      </c>
      <c r="G59" s="128" t="s">
        <v>24</v>
      </c>
      <c r="H59" s="122" t="s">
        <v>6</v>
      </c>
      <c r="I59" s="122" t="s">
        <v>61</v>
      </c>
      <c r="J59" s="122" t="s">
        <v>27</v>
      </c>
      <c r="K59" s="123"/>
      <c r="L59" s="128" t="s">
        <v>26</v>
      </c>
      <c r="M59" s="124" t="s">
        <v>31</v>
      </c>
      <c r="N59" s="124" t="s">
        <v>12</v>
      </c>
      <c r="O59" s="124" t="s">
        <v>33</v>
      </c>
      <c r="P59" s="124" t="s">
        <v>35</v>
      </c>
      <c r="Q59" s="124" t="s">
        <v>36</v>
      </c>
      <c r="R59" s="124" t="s">
        <v>14</v>
      </c>
      <c r="S59" s="124" t="s">
        <v>10</v>
      </c>
      <c r="T59" s="128" t="s">
        <v>39</v>
      </c>
      <c r="U59" s="128" t="s">
        <v>40</v>
      </c>
      <c r="V59" s="123"/>
      <c r="W59" s="128" t="s">
        <v>30</v>
      </c>
      <c r="X59" s="122" t="s">
        <v>3</v>
      </c>
      <c r="Y59" s="122" t="s">
        <v>57</v>
      </c>
      <c r="Z59" s="122" t="s">
        <v>7</v>
      </c>
      <c r="AA59" s="128" t="s">
        <v>4</v>
      </c>
      <c r="AB59" s="129" t="s">
        <v>60</v>
      </c>
    </row>
    <row r="60" spans="3:31" ht="15">
      <c r="C60" s="167"/>
      <c r="D60" s="131"/>
      <c r="E60" s="131" t="s">
        <v>65</v>
      </c>
      <c r="F60" s="128"/>
      <c r="G60" s="128"/>
      <c r="H60" s="128" t="s">
        <v>46</v>
      </c>
      <c r="I60" s="128" t="s">
        <v>62</v>
      </c>
      <c r="J60" s="128" t="s">
        <v>28</v>
      </c>
      <c r="K60" s="123"/>
      <c r="L60" s="128" t="s">
        <v>42</v>
      </c>
      <c r="M60" s="122" t="s">
        <v>32</v>
      </c>
      <c r="N60" s="122" t="s">
        <v>13</v>
      </c>
      <c r="O60" s="122" t="s">
        <v>34</v>
      </c>
      <c r="P60" s="122" t="s">
        <v>34</v>
      </c>
      <c r="Q60" s="122" t="s">
        <v>37</v>
      </c>
      <c r="R60" s="122" t="s">
        <v>15</v>
      </c>
      <c r="S60" s="122" t="s">
        <v>38</v>
      </c>
      <c r="T60" s="128" t="s">
        <v>19</v>
      </c>
      <c r="U60" s="132" t="s">
        <v>235</v>
      </c>
      <c r="V60" s="133"/>
      <c r="W60" s="128" t="s">
        <v>52</v>
      </c>
      <c r="X60" s="128"/>
      <c r="Y60" s="128"/>
      <c r="Z60" s="128" t="s">
        <v>43</v>
      </c>
      <c r="AA60" s="128" t="s">
        <v>5</v>
      </c>
      <c r="AB60" s="134"/>
    </row>
    <row r="61" spans="3:31" ht="15">
      <c r="C61" s="128"/>
      <c r="D61" s="135" t="s">
        <v>268</v>
      </c>
      <c r="E61" s="135" t="s">
        <v>64</v>
      </c>
      <c r="F61" s="124"/>
      <c r="G61" s="124"/>
      <c r="H61" s="124"/>
      <c r="I61" s="124"/>
      <c r="J61" s="124"/>
      <c r="K61" s="198"/>
      <c r="L61" s="124"/>
      <c r="M61" s="124"/>
      <c r="N61" s="124"/>
      <c r="O61" s="124"/>
      <c r="P61" s="124"/>
      <c r="Q61" s="124"/>
      <c r="R61" s="124"/>
      <c r="S61" s="124"/>
      <c r="T61" s="124"/>
      <c r="U61" s="198"/>
      <c r="V61" s="198"/>
      <c r="W61" s="124"/>
      <c r="X61" s="124"/>
      <c r="Y61" s="124"/>
      <c r="Z61" s="124"/>
      <c r="AA61" s="124"/>
      <c r="AB61" s="137"/>
    </row>
    <row r="63" spans="3:31" ht="35.1" customHeight="1">
      <c r="C63" s="245">
        <v>1</v>
      </c>
      <c r="D63" s="50" t="s">
        <v>269</v>
      </c>
      <c r="E63" s="50" t="s">
        <v>270</v>
      </c>
      <c r="F63" s="51">
        <v>15</v>
      </c>
      <c r="G63" s="143">
        <f>H63/15</f>
        <v>217</v>
      </c>
      <c r="H63" s="145">
        <v>3255</v>
      </c>
      <c r="I63" s="145">
        <v>0</v>
      </c>
      <c r="J63" s="145">
        <f>TRUNC(SUM(F63*G63)+I63,2)</f>
        <v>3255</v>
      </c>
      <c r="K63" s="146"/>
      <c r="L63" s="147">
        <v>0</v>
      </c>
      <c r="M63" s="147">
        <f>J63</f>
        <v>3255</v>
      </c>
      <c r="N63" s="147">
        <f>VLOOKUP(M63,Tarifa1,1)</f>
        <v>2077.5100000000002</v>
      </c>
      <c r="O63" s="147">
        <f>M63-N63</f>
        <v>1177.4899999999998</v>
      </c>
      <c r="P63" s="148">
        <f>VLOOKUP(M63,Tarifa1,3)</f>
        <v>0.10879999999999999</v>
      </c>
      <c r="Q63" s="147">
        <f>O63*P63</f>
        <v>128.11091199999996</v>
      </c>
      <c r="R63" s="147">
        <f>VLOOKUP(M63,Tarifa1,2)</f>
        <v>121.95</v>
      </c>
      <c r="S63" s="147">
        <f>Q63+R63</f>
        <v>250.06091199999997</v>
      </c>
      <c r="T63" s="147">
        <f>VLOOKUP(M63,Credito1,2)</f>
        <v>125.1</v>
      </c>
      <c r="U63" s="147">
        <f>S63-T63</f>
        <v>124.96091199999998</v>
      </c>
      <c r="V63" s="149"/>
      <c r="W63" s="145">
        <f>-IF(U63&gt;0,0,U63)</f>
        <v>0</v>
      </c>
      <c r="X63" s="150">
        <f>IF(U63&lt;0,0,U63)</f>
        <v>124.96091199999998</v>
      </c>
      <c r="Y63" s="151">
        <v>0</v>
      </c>
      <c r="Z63" s="145">
        <f>SUM(X63:Y63)</f>
        <v>124.96091199999998</v>
      </c>
      <c r="AA63" s="152">
        <f>J63+W63-Z63</f>
        <v>3130.039088</v>
      </c>
      <c r="AB63" s="194"/>
      <c r="AE63" s="181"/>
    </row>
    <row r="64" spans="3:31" ht="35.1" customHeight="1">
      <c r="C64" s="171">
        <v>2</v>
      </c>
      <c r="D64" s="50" t="s">
        <v>271</v>
      </c>
      <c r="E64" s="50" t="s">
        <v>272</v>
      </c>
      <c r="F64" s="51">
        <v>15</v>
      </c>
      <c r="G64" s="143">
        <f>H64/15</f>
        <v>217</v>
      </c>
      <c r="H64" s="145">
        <v>3255</v>
      </c>
      <c r="I64" s="145">
        <v>0</v>
      </c>
      <c r="J64" s="145">
        <f>TRUNC(SUM(F64*G64)+I64,2)</f>
        <v>3255</v>
      </c>
      <c r="K64" s="146"/>
      <c r="L64" s="147">
        <v>0</v>
      </c>
      <c r="M64" s="147">
        <f>J64</f>
        <v>3255</v>
      </c>
      <c r="N64" s="147">
        <f>VLOOKUP(M64,Tarifa1,1)</f>
        <v>2077.5100000000002</v>
      </c>
      <c r="O64" s="147">
        <f>M64-N64</f>
        <v>1177.4899999999998</v>
      </c>
      <c r="P64" s="148">
        <f>VLOOKUP(M64,Tarifa1,3)</f>
        <v>0.10879999999999999</v>
      </c>
      <c r="Q64" s="147">
        <f>O64*P64</f>
        <v>128.11091199999996</v>
      </c>
      <c r="R64" s="147">
        <f>VLOOKUP(M64,Tarifa1,2)</f>
        <v>121.95</v>
      </c>
      <c r="S64" s="147">
        <f>Q64+R64</f>
        <v>250.06091199999997</v>
      </c>
      <c r="T64" s="147">
        <f>VLOOKUP(M64,Credito1,2)</f>
        <v>125.1</v>
      </c>
      <c r="U64" s="147">
        <f>S64-T64</f>
        <v>124.96091199999998</v>
      </c>
      <c r="V64" s="149"/>
      <c r="W64" s="145">
        <f>-IF(U64&gt;0,0,U64)</f>
        <v>0</v>
      </c>
      <c r="X64" s="150">
        <f>IF(U64&lt;0,0,U64)</f>
        <v>124.96091199999998</v>
      </c>
      <c r="Y64" s="151">
        <v>0</v>
      </c>
      <c r="Z64" s="145">
        <f>SUM(X64:Y64)</f>
        <v>124.96091199999998</v>
      </c>
      <c r="AA64" s="152">
        <f>J64+W64-Z64</f>
        <v>3130.039088</v>
      </c>
      <c r="AB64" s="194"/>
    </row>
    <row r="65" spans="3:31" ht="35.1" customHeight="1">
      <c r="C65" s="245">
        <v>3</v>
      </c>
      <c r="D65" s="50" t="s">
        <v>273</v>
      </c>
      <c r="E65" s="50" t="s">
        <v>272</v>
      </c>
      <c r="F65" s="51">
        <v>15</v>
      </c>
      <c r="G65" s="143">
        <f>H65/15</f>
        <v>133.66666666666666</v>
      </c>
      <c r="H65" s="145">
        <v>2005</v>
      </c>
      <c r="I65" s="145">
        <v>0</v>
      </c>
      <c r="J65" s="145">
        <f>TRUNC(SUM(F65*G65)+I65,2)</f>
        <v>2005</v>
      </c>
      <c r="K65" s="146"/>
      <c r="L65" s="147">
        <v>0</v>
      </c>
      <c r="M65" s="147">
        <f>J65</f>
        <v>2005</v>
      </c>
      <c r="N65" s="147">
        <f>VLOOKUP(M65,Tarifa1,1)</f>
        <v>244.81</v>
      </c>
      <c r="O65" s="147">
        <f>M65-N65</f>
        <v>1760.19</v>
      </c>
      <c r="P65" s="148">
        <f>VLOOKUP(M65,Tarifa1,3)</f>
        <v>6.4000000000000001E-2</v>
      </c>
      <c r="Q65" s="147">
        <f>O65*P65</f>
        <v>112.65216000000001</v>
      </c>
      <c r="R65" s="147">
        <f>VLOOKUP(M65,Tarifa1,2)</f>
        <v>4.6500000000000004</v>
      </c>
      <c r="S65" s="147">
        <f>Q65+R65</f>
        <v>117.30216000000001</v>
      </c>
      <c r="T65" s="147">
        <f>VLOOKUP(M65,Credito1,2)</f>
        <v>188.7</v>
      </c>
      <c r="U65" s="147">
        <f>S65-T65</f>
        <v>-71.397839999999974</v>
      </c>
      <c r="V65" s="149"/>
      <c r="W65" s="145">
        <f>-IF(U65&gt;0,0,U65)</f>
        <v>71.397839999999974</v>
      </c>
      <c r="X65" s="150">
        <f>IF(U65&lt;0,0,U65)</f>
        <v>0</v>
      </c>
      <c r="Y65" s="151">
        <v>0</v>
      </c>
      <c r="Z65" s="145">
        <f>SUM(X65:Y65)</f>
        <v>0</v>
      </c>
      <c r="AA65" s="152">
        <f>J65+W65-Z65</f>
        <v>2076.3978400000001</v>
      </c>
      <c r="AB65" s="194"/>
      <c r="AE65" s="181"/>
    </row>
    <row r="66" spans="3:31" ht="35.1" customHeight="1">
      <c r="C66" s="210">
        <v>4</v>
      </c>
      <c r="D66" s="50" t="s">
        <v>318</v>
      </c>
      <c r="E66" s="50" t="s">
        <v>101</v>
      </c>
      <c r="F66" s="51"/>
      <c r="G66" s="143"/>
      <c r="H66" s="145">
        <v>2005</v>
      </c>
      <c r="I66" s="145">
        <v>0</v>
      </c>
      <c r="J66" s="145">
        <f>TRUNC(SUM(F66*G66)+I66,2)</f>
        <v>0</v>
      </c>
      <c r="K66" s="146"/>
      <c r="L66" s="147"/>
      <c r="M66" s="147"/>
      <c r="N66" s="147"/>
      <c r="O66" s="147"/>
      <c r="P66" s="148"/>
      <c r="Q66" s="147"/>
      <c r="R66" s="147"/>
      <c r="S66" s="147"/>
      <c r="T66" s="147"/>
      <c r="U66" s="147"/>
      <c r="V66" s="149"/>
      <c r="W66" s="145">
        <v>71.400000000000006</v>
      </c>
      <c r="X66" s="150">
        <f>IF(U66&lt;0,0,U66)</f>
        <v>0</v>
      </c>
      <c r="Y66" s="151">
        <v>0</v>
      </c>
      <c r="Z66" s="145">
        <f>SUM(X66:Y66)</f>
        <v>0</v>
      </c>
      <c r="AA66" s="152">
        <v>2076.4</v>
      </c>
      <c r="AB66" s="194"/>
      <c r="AE66" s="181"/>
    </row>
    <row r="67" spans="3:31" ht="35.1" customHeight="1">
      <c r="C67" s="246"/>
      <c r="D67" s="50"/>
      <c r="E67" s="50"/>
      <c r="F67" s="51"/>
      <c r="G67" s="143"/>
      <c r="H67" s="145"/>
      <c r="I67" s="145"/>
      <c r="J67" s="145"/>
      <c r="K67" s="146"/>
      <c r="L67" s="147"/>
      <c r="M67" s="147"/>
      <c r="N67" s="147"/>
      <c r="O67" s="147"/>
      <c r="P67" s="148"/>
      <c r="Q67" s="147"/>
      <c r="R67" s="147"/>
      <c r="S67" s="147"/>
      <c r="T67" s="147"/>
      <c r="U67" s="147"/>
      <c r="V67" s="149"/>
      <c r="W67" s="145"/>
      <c r="X67" s="150"/>
      <c r="Y67" s="151"/>
      <c r="Z67" s="145"/>
      <c r="AA67" s="152"/>
      <c r="AB67" s="194"/>
    </row>
    <row r="68" spans="3:31" ht="35.1" customHeight="1">
      <c r="D68" s="77"/>
      <c r="E68" s="77"/>
      <c r="F68" s="78"/>
      <c r="G68" s="199"/>
      <c r="H68" s="200"/>
      <c r="I68" s="201"/>
      <c r="J68" s="201"/>
      <c r="W68" s="201"/>
      <c r="X68" s="202"/>
      <c r="Y68" s="203"/>
      <c r="Z68" s="201"/>
      <c r="AA68" s="204"/>
      <c r="AB68" s="205"/>
    </row>
    <row r="69" spans="3:31" ht="35.1" customHeight="1" thickBot="1">
      <c r="C69" s="323" t="s">
        <v>143</v>
      </c>
      <c r="D69" s="324"/>
      <c r="E69" s="324"/>
      <c r="F69" s="324"/>
      <c r="G69" s="325"/>
      <c r="H69" s="178">
        <f>SUM(H63:H68)</f>
        <v>10520</v>
      </c>
      <c r="I69" s="178">
        <f t="shared" ref="I69:AA69" si="16">SUM(I63:I68)</f>
        <v>0</v>
      </c>
      <c r="J69" s="178">
        <f t="shared" si="16"/>
        <v>8515</v>
      </c>
      <c r="K69" s="178">
        <f t="shared" si="16"/>
        <v>0</v>
      </c>
      <c r="L69" s="178">
        <f t="shared" si="16"/>
        <v>0</v>
      </c>
      <c r="M69" s="178">
        <f t="shared" si="16"/>
        <v>8515</v>
      </c>
      <c r="N69" s="178">
        <f t="shared" si="16"/>
        <v>4399.8300000000008</v>
      </c>
      <c r="O69" s="178">
        <f t="shared" si="16"/>
        <v>4115.17</v>
      </c>
      <c r="P69" s="178">
        <f t="shared" si="16"/>
        <v>0.28159999999999996</v>
      </c>
      <c r="Q69" s="178">
        <f t="shared" si="16"/>
        <v>368.87398399999995</v>
      </c>
      <c r="R69" s="178">
        <f t="shared" si="16"/>
        <v>248.55</v>
      </c>
      <c r="S69" s="178">
        <f t="shared" si="16"/>
        <v>617.42398400000002</v>
      </c>
      <c r="T69" s="178">
        <f t="shared" si="16"/>
        <v>438.9</v>
      </c>
      <c r="U69" s="178">
        <f t="shared" si="16"/>
        <v>178.52398399999998</v>
      </c>
      <c r="V69" s="178">
        <f t="shared" si="16"/>
        <v>0</v>
      </c>
      <c r="W69" s="178">
        <f t="shared" si="16"/>
        <v>142.79783999999998</v>
      </c>
      <c r="X69" s="178">
        <f t="shared" si="16"/>
        <v>249.92182399999996</v>
      </c>
      <c r="Y69" s="178">
        <f t="shared" si="16"/>
        <v>0</v>
      </c>
      <c r="Z69" s="178">
        <f t="shared" si="16"/>
        <v>249.92182399999996</v>
      </c>
      <c r="AA69" s="178">
        <f t="shared" si="16"/>
        <v>10412.876016</v>
      </c>
      <c r="AB69" s="178"/>
    </row>
    <row r="70" spans="3:31" ht="13.5" thickTop="1"/>
    <row r="81" spans="4:27">
      <c r="D81" s="183" t="s">
        <v>255</v>
      </c>
      <c r="H81" s="183"/>
      <c r="I81" s="183"/>
      <c r="J81" s="183"/>
      <c r="K81" s="183"/>
      <c r="L81" s="183"/>
      <c r="M81" s="183"/>
      <c r="N81" s="183"/>
      <c r="O81" s="183"/>
      <c r="P81" s="183"/>
      <c r="Q81" s="183"/>
      <c r="R81" s="183"/>
      <c r="S81" s="183"/>
      <c r="T81" s="183"/>
      <c r="U81" s="183"/>
      <c r="V81" s="183"/>
      <c r="W81" s="183"/>
      <c r="X81" s="120" t="s">
        <v>255</v>
      </c>
    </row>
    <row r="82" spans="4:27">
      <c r="D82" s="182" t="s">
        <v>237</v>
      </c>
      <c r="W82" s="181"/>
      <c r="X82" s="182" t="s">
        <v>238</v>
      </c>
    </row>
    <row r="83" spans="4:27">
      <c r="D83" s="183" t="s">
        <v>67</v>
      </c>
      <c r="E83" s="183"/>
      <c r="F83" s="183"/>
      <c r="G83" s="183"/>
      <c r="H83" s="183"/>
      <c r="I83" s="183"/>
      <c r="J83" s="183"/>
      <c r="K83" s="183"/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4"/>
      <c r="X83" s="183" t="s">
        <v>239</v>
      </c>
      <c r="AA83" s="181"/>
    </row>
    <row r="86" spans="4:27">
      <c r="D86" s="205"/>
      <c r="E86" s="205"/>
      <c r="F86" s="205"/>
      <c r="G86" s="205"/>
      <c r="H86" s="205"/>
      <c r="I86" s="205"/>
      <c r="J86" s="205"/>
      <c r="K86" s="205"/>
      <c r="L86" s="205"/>
      <c r="M86" s="205"/>
      <c r="N86" s="205"/>
      <c r="O86" s="205"/>
      <c r="P86" s="205"/>
      <c r="Q86" s="205"/>
      <c r="R86" s="205"/>
      <c r="S86" s="205"/>
      <c r="T86" s="205"/>
      <c r="U86" s="205"/>
      <c r="V86" s="205"/>
      <c r="W86" s="205"/>
      <c r="X86" s="205"/>
      <c r="Y86" s="205"/>
      <c r="Z86" s="205"/>
      <c r="AA86" s="205"/>
    </row>
    <row r="87" spans="4:27">
      <c r="D87" s="247"/>
      <c r="E87" s="205"/>
      <c r="F87" s="205"/>
      <c r="G87" s="205"/>
      <c r="H87" s="247"/>
      <c r="I87" s="247"/>
      <c r="J87" s="247"/>
      <c r="K87" s="247"/>
      <c r="L87" s="247"/>
      <c r="M87" s="247"/>
      <c r="N87" s="247"/>
      <c r="O87" s="247"/>
      <c r="P87" s="247"/>
      <c r="Q87" s="247"/>
      <c r="R87" s="247"/>
      <c r="S87" s="247"/>
      <c r="T87" s="247"/>
      <c r="U87" s="247"/>
      <c r="V87" s="247"/>
      <c r="W87" s="247"/>
      <c r="X87" s="205"/>
      <c r="Y87" s="205"/>
      <c r="Z87" s="205"/>
      <c r="AA87" s="205"/>
    </row>
    <row r="88" spans="4:27">
      <c r="D88" s="16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48"/>
      <c r="X88" s="165"/>
      <c r="Y88" s="205"/>
      <c r="Z88" s="205"/>
      <c r="AA88" s="205"/>
    </row>
    <row r="89" spans="4:27">
      <c r="D89" s="247"/>
      <c r="E89" s="247"/>
      <c r="F89" s="247"/>
      <c r="G89" s="247"/>
      <c r="H89" s="247"/>
      <c r="I89" s="247"/>
      <c r="J89" s="247"/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9"/>
      <c r="X89" s="247"/>
      <c r="Y89" s="205"/>
      <c r="Z89" s="205"/>
      <c r="AA89" s="248"/>
    </row>
    <row r="90" spans="4:27">
      <c r="D90" s="190"/>
      <c r="E90" s="183"/>
      <c r="F90" s="183"/>
      <c r="G90" s="183"/>
      <c r="H90" s="183"/>
      <c r="I90" s="183"/>
      <c r="J90" s="183"/>
      <c r="K90" s="183"/>
      <c r="L90" s="183"/>
      <c r="M90" s="183"/>
      <c r="N90" s="183"/>
      <c r="O90" s="183"/>
      <c r="P90" s="183"/>
      <c r="Q90" s="183"/>
      <c r="R90" s="183"/>
      <c r="S90" s="183"/>
      <c r="T90" s="183"/>
      <c r="U90" s="183"/>
      <c r="V90" s="183"/>
      <c r="W90" s="183"/>
      <c r="X90" s="183"/>
      <c r="Y90" s="183"/>
      <c r="Z90" s="183"/>
      <c r="AA90" s="184"/>
    </row>
  </sheetData>
  <sheetProtection selectLockedCells="1" selectUnlockedCells="1"/>
  <mergeCells count="14">
    <mergeCell ref="C57:AB57"/>
    <mergeCell ref="H58:J58"/>
    <mergeCell ref="N58:S58"/>
    <mergeCell ref="X58:Z58"/>
    <mergeCell ref="C69:G69"/>
    <mergeCell ref="C35:G35"/>
    <mergeCell ref="C55:AB55"/>
    <mergeCell ref="C56:AB56"/>
    <mergeCell ref="C3:AB3"/>
    <mergeCell ref="C4:AB4"/>
    <mergeCell ref="C5:AB5"/>
    <mergeCell ref="H6:J6"/>
    <mergeCell ref="N6:S6"/>
    <mergeCell ref="X6:Z6"/>
  </mergeCells>
  <phoneticPr fontId="0" type="noConversion"/>
  <pageMargins left="0.47244094488188981" right="0.31496062992125984" top="0.39370078740157483" bottom="0" header="0.11811023622047245" footer="0.31496062992125984"/>
  <pageSetup paperSize="5" scale="6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2:AB29"/>
  <sheetViews>
    <sheetView topLeftCell="C1" workbookViewId="0">
      <selection activeCell="C3" sqref="C3:AB23"/>
    </sheetView>
  </sheetViews>
  <sheetFormatPr baseColWidth="10" defaultRowHeight="12.75"/>
  <cols>
    <col min="1" max="2" width="0" hidden="1" customWidth="1"/>
    <col min="3" max="3" width="6.28515625" customWidth="1"/>
    <col min="4" max="4" width="34.140625" customWidth="1"/>
    <col min="5" max="5" width="21.85546875" customWidth="1"/>
    <col min="6" max="7" width="0" hidden="1" customWidth="1"/>
    <col min="8" max="8" width="11.140625" customWidth="1"/>
    <col min="9" max="9" width="8.5703125" customWidth="1"/>
    <col min="11" max="22" width="0" hidden="1" customWidth="1"/>
    <col min="23" max="23" width="10.28515625" customWidth="1"/>
    <col min="24" max="24" width="9.42578125" customWidth="1"/>
    <col min="25" max="25" width="8.5703125" customWidth="1"/>
    <col min="26" max="26" width="8.140625" customWidth="1"/>
    <col min="27" max="27" width="10" customWidth="1"/>
    <col min="28" max="28" width="46" customWidth="1"/>
  </cols>
  <sheetData>
    <row r="2" spans="3:28"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</row>
    <row r="3" spans="3:28" ht="18">
      <c r="C3" s="349" t="s">
        <v>68</v>
      </c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</row>
    <row r="4" spans="3:28" ht="15" hidden="1">
      <c r="C4" s="350" t="s">
        <v>63</v>
      </c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</row>
    <row r="5" spans="3:28" ht="15">
      <c r="C5" s="350" t="str">
        <f>'SEG.PUB.MPAL Y PROTECCION CIVIL'!C4</f>
        <v>SUELDOS 16 AL 30 DE NOVIEMBRE DE 2016</v>
      </c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</row>
    <row r="6" spans="3:28" ht="15">
      <c r="C6" s="350" t="s">
        <v>71</v>
      </c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</row>
    <row r="7" spans="3:28">
      <c r="C7" s="25"/>
      <c r="D7" s="25"/>
      <c r="E7" s="25"/>
      <c r="F7" s="26" t="s">
        <v>22</v>
      </c>
      <c r="G7" s="26" t="s">
        <v>6</v>
      </c>
      <c r="H7" s="351" t="s">
        <v>1</v>
      </c>
      <c r="I7" s="352"/>
      <c r="J7" s="353"/>
      <c r="K7" s="27"/>
      <c r="L7" s="28" t="s">
        <v>25</v>
      </c>
      <c r="M7" s="29"/>
      <c r="N7" s="354" t="s">
        <v>9</v>
      </c>
      <c r="O7" s="355"/>
      <c r="P7" s="355"/>
      <c r="Q7" s="355"/>
      <c r="R7" s="355"/>
      <c r="S7" s="356"/>
      <c r="T7" s="28" t="s">
        <v>29</v>
      </c>
      <c r="U7" s="28" t="s">
        <v>10</v>
      </c>
      <c r="V7" s="30"/>
      <c r="W7" s="26" t="s">
        <v>53</v>
      </c>
      <c r="X7" s="351" t="s">
        <v>2</v>
      </c>
      <c r="Y7" s="352"/>
      <c r="Z7" s="353"/>
      <c r="AA7" s="26" t="s">
        <v>0</v>
      </c>
      <c r="AB7" s="47"/>
    </row>
    <row r="8" spans="3:28">
      <c r="C8" s="31" t="s">
        <v>21</v>
      </c>
      <c r="D8" s="31"/>
      <c r="E8" s="31"/>
      <c r="F8" s="32" t="s">
        <v>23</v>
      </c>
      <c r="G8" s="31" t="s">
        <v>24</v>
      </c>
      <c r="H8" s="26" t="s">
        <v>6</v>
      </c>
      <c r="I8" s="26" t="s">
        <v>61</v>
      </c>
      <c r="J8" s="26" t="s">
        <v>27</v>
      </c>
      <c r="K8" s="27"/>
      <c r="L8" s="33" t="s">
        <v>26</v>
      </c>
      <c r="M8" s="29" t="s">
        <v>31</v>
      </c>
      <c r="N8" s="29" t="s">
        <v>12</v>
      </c>
      <c r="O8" s="29" t="s">
        <v>33</v>
      </c>
      <c r="P8" s="29" t="s">
        <v>35</v>
      </c>
      <c r="Q8" s="29" t="s">
        <v>36</v>
      </c>
      <c r="R8" s="29" t="s">
        <v>14</v>
      </c>
      <c r="S8" s="29" t="s">
        <v>10</v>
      </c>
      <c r="T8" s="33" t="s">
        <v>39</v>
      </c>
      <c r="U8" s="33" t="s">
        <v>40</v>
      </c>
      <c r="V8" s="30"/>
      <c r="W8" s="31" t="s">
        <v>30</v>
      </c>
      <c r="X8" s="26" t="s">
        <v>3</v>
      </c>
      <c r="Y8" s="26" t="s">
        <v>57</v>
      </c>
      <c r="Z8" s="26" t="s">
        <v>7</v>
      </c>
      <c r="AA8" s="31" t="s">
        <v>4</v>
      </c>
      <c r="AB8" s="48" t="s">
        <v>60</v>
      </c>
    </row>
    <row r="9" spans="3:28" ht="15">
      <c r="C9" s="242"/>
      <c r="D9" s="107"/>
      <c r="E9" s="107" t="s">
        <v>65</v>
      </c>
      <c r="F9" s="108"/>
      <c r="G9" s="108"/>
      <c r="H9" s="108" t="s">
        <v>46</v>
      </c>
      <c r="I9" s="108" t="s">
        <v>62</v>
      </c>
      <c r="J9" s="108" t="s">
        <v>28</v>
      </c>
      <c r="K9" s="109"/>
      <c r="L9" s="108" t="s">
        <v>42</v>
      </c>
      <c r="M9" s="110" t="s">
        <v>32</v>
      </c>
      <c r="N9" s="110" t="s">
        <v>13</v>
      </c>
      <c r="O9" s="110" t="s">
        <v>34</v>
      </c>
      <c r="P9" s="110" t="s">
        <v>34</v>
      </c>
      <c r="Q9" s="110" t="s">
        <v>37</v>
      </c>
      <c r="R9" s="110" t="s">
        <v>15</v>
      </c>
      <c r="S9" s="110" t="s">
        <v>38</v>
      </c>
      <c r="T9" s="108" t="s">
        <v>19</v>
      </c>
      <c r="U9" s="111" t="s">
        <v>235</v>
      </c>
      <c r="V9" s="112"/>
      <c r="W9" s="108" t="s">
        <v>52</v>
      </c>
      <c r="X9" s="108"/>
      <c r="Y9" s="108"/>
      <c r="Z9" s="108" t="s">
        <v>43</v>
      </c>
      <c r="AA9" s="108" t="s">
        <v>5</v>
      </c>
      <c r="AB9" s="113"/>
    </row>
    <row r="10" spans="3:28" ht="15">
      <c r="C10" s="243"/>
      <c r="D10" s="114" t="s">
        <v>147</v>
      </c>
      <c r="E10" s="114" t="s">
        <v>64</v>
      </c>
      <c r="F10" s="115"/>
      <c r="G10" s="115"/>
      <c r="H10" s="115"/>
      <c r="I10" s="115"/>
      <c r="J10" s="115"/>
      <c r="K10" s="207"/>
      <c r="L10" s="115"/>
      <c r="M10" s="115"/>
      <c r="N10" s="115"/>
      <c r="O10" s="115"/>
      <c r="P10" s="115"/>
      <c r="Q10" s="115"/>
      <c r="R10" s="115"/>
      <c r="S10" s="115"/>
      <c r="T10" s="115"/>
      <c r="U10" s="207"/>
      <c r="V10" s="207"/>
      <c r="W10" s="115"/>
      <c r="X10" s="115"/>
      <c r="Y10" s="115"/>
      <c r="Z10" s="115"/>
      <c r="AA10" s="115"/>
      <c r="AB10" s="116"/>
    </row>
    <row r="11" spans="3:28" ht="15">
      <c r="C11" s="69"/>
      <c r="D11" s="70"/>
      <c r="E11" s="70"/>
      <c r="F11" s="69"/>
      <c r="G11" s="69"/>
      <c r="H11" s="69"/>
      <c r="I11" s="69"/>
      <c r="J11" s="69"/>
      <c r="K11" s="30"/>
      <c r="L11" s="69"/>
      <c r="M11" s="69"/>
      <c r="N11" s="69"/>
      <c r="O11" s="69"/>
      <c r="P11" s="69"/>
      <c r="Q11" s="69"/>
      <c r="R11" s="69"/>
      <c r="S11" s="69"/>
      <c r="T11" s="69"/>
      <c r="U11" s="30"/>
      <c r="V11" s="30"/>
      <c r="W11" s="69"/>
      <c r="X11" s="69"/>
      <c r="Y11" s="69"/>
      <c r="Z11" s="69"/>
      <c r="AA11" s="69"/>
      <c r="AB11" s="71"/>
    </row>
    <row r="12" spans="3:28" ht="32.1" customHeight="1">
      <c r="C12" s="49">
        <v>1</v>
      </c>
      <c r="D12" s="50" t="s">
        <v>138</v>
      </c>
      <c r="E12" s="50" t="s">
        <v>139</v>
      </c>
      <c r="F12" s="51"/>
      <c r="G12" s="52"/>
      <c r="H12" s="53">
        <v>819.32</v>
      </c>
      <c r="I12" s="54">
        <v>0</v>
      </c>
      <c r="J12" s="55">
        <f>SUM(H12:I12)</f>
        <v>819.32</v>
      </c>
      <c r="K12" s="56"/>
      <c r="L12" s="57">
        <v>0</v>
      </c>
      <c r="M12" s="57">
        <f>H12+L12</f>
        <v>819.32</v>
      </c>
      <c r="N12" s="57">
        <f>VLOOKUP(M12,Tarifa1,1)</f>
        <v>244.81</v>
      </c>
      <c r="O12" s="57">
        <f>M12-N12</f>
        <v>574.51</v>
      </c>
      <c r="P12" s="58">
        <f>VLOOKUP(M12,Tarifa1,3)</f>
        <v>6.4000000000000001E-2</v>
      </c>
      <c r="Q12" s="57">
        <f>O12*P12</f>
        <v>36.768639999999998</v>
      </c>
      <c r="R12" s="57">
        <f>VLOOKUP(M12,Tarifa1,2)</f>
        <v>4.6500000000000004</v>
      </c>
      <c r="S12" s="57">
        <f>Q12+R12</f>
        <v>41.418639999999996</v>
      </c>
      <c r="T12" s="57">
        <f>VLOOKUP(M12,Credito1,2)</f>
        <v>200.85</v>
      </c>
      <c r="U12" s="57">
        <f>S12-T12</f>
        <v>-159.43135999999998</v>
      </c>
      <c r="V12" s="59"/>
      <c r="W12" s="55">
        <v>0</v>
      </c>
      <c r="X12" s="60">
        <f>IF(U12&lt;0,0,U12)</f>
        <v>0</v>
      </c>
      <c r="Y12" s="61">
        <v>0</v>
      </c>
      <c r="Z12" s="55">
        <f>SUM(X12:Y12)</f>
        <v>0</v>
      </c>
      <c r="AA12" s="62">
        <f>J12+W12-Z12</f>
        <v>819.32</v>
      </c>
      <c r="AB12" s="64"/>
    </row>
    <row r="13" spans="3:28" ht="32.1" customHeight="1">
      <c r="C13" s="49">
        <v>2</v>
      </c>
      <c r="D13" s="50" t="s">
        <v>140</v>
      </c>
      <c r="E13" s="50" t="s">
        <v>104</v>
      </c>
      <c r="F13" s="51"/>
      <c r="G13" s="52"/>
      <c r="H13" s="53">
        <v>1719.21</v>
      </c>
      <c r="I13" s="54">
        <v>0</v>
      </c>
      <c r="J13" s="55">
        <f>SUM(H13:I13)</f>
        <v>1719.21</v>
      </c>
      <c r="K13" s="56"/>
      <c r="L13" s="57">
        <v>0</v>
      </c>
      <c r="M13" s="57">
        <f>H13+L13</f>
        <v>1719.21</v>
      </c>
      <c r="N13" s="57">
        <f>VLOOKUP(M13,Tarifa1,1)</f>
        <v>244.81</v>
      </c>
      <c r="O13" s="57">
        <f>M13-N13</f>
        <v>1474.4</v>
      </c>
      <c r="P13" s="58">
        <f>VLOOKUP(M13,Tarifa1,3)</f>
        <v>6.4000000000000001E-2</v>
      </c>
      <c r="Q13" s="57">
        <f>O13*P13</f>
        <v>94.36160000000001</v>
      </c>
      <c r="R13" s="57">
        <f>VLOOKUP(M13,Tarifa1,2)</f>
        <v>4.6500000000000004</v>
      </c>
      <c r="S13" s="57">
        <f>Q13+R13</f>
        <v>99.011600000000016</v>
      </c>
      <c r="T13" s="57">
        <f>VLOOKUP(M13,Credito1,2)</f>
        <v>193.8</v>
      </c>
      <c r="U13" s="57">
        <f>S13-T13</f>
        <v>-94.788399999999996</v>
      </c>
      <c r="V13" s="59"/>
      <c r="W13" s="55">
        <v>0</v>
      </c>
      <c r="X13" s="60">
        <f>IF(U13&lt;0,0,U13)</f>
        <v>0</v>
      </c>
      <c r="Y13" s="61">
        <v>0</v>
      </c>
      <c r="Z13" s="55">
        <f>SUM(X13:Y13)</f>
        <v>0</v>
      </c>
      <c r="AA13" s="62">
        <f>J13+W13-Z13</f>
        <v>1719.21</v>
      </c>
      <c r="AB13" s="64"/>
    </row>
    <row r="14" spans="3:28" ht="32.1" customHeight="1">
      <c r="C14" s="49">
        <v>3</v>
      </c>
      <c r="D14" s="50" t="s">
        <v>141</v>
      </c>
      <c r="E14" s="50" t="s">
        <v>142</v>
      </c>
      <c r="F14" s="51"/>
      <c r="G14" s="52"/>
      <c r="H14" s="53">
        <v>2098.85</v>
      </c>
      <c r="I14" s="54">
        <v>0</v>
      </c>
      <c r="J14" s="55">
        <f>SUM(H14:I14)</f>
        <v>2098.85</v>
      </c>
      <c r="K14" s="56"/>
      <c r="L14" s="57">
        <v>0</v>
      </c>
      <c r="M14" s="57">
        <f>H14+L14</f>
        <v>2098.85</v>
      </c>
      <c r="N14" s="57">
        <f>VLOOKUP(M14,Tarifa1,1)</f>
        <v>2077.5100000000002</v>
      </c>
      <c r="O14" s="57">
        <f>M14-N14</f>
        <v>21.339999999999691</v>
      </c>
      <c r="P14" s="58">
        <f>VLOOKUP(M14,Tarifa1,3)</f>
        <v>0.10879999999999999</v>
      </c>
      <c r="Q14" s="57">
        <f>O14*P14</f>
        <v>2.3217919999999661</v>
      </c>
      <c r="R14" s="57">
        <f>VLOOKUP(M14,Tarifa1,2)</f>
        <v>121.95</v>
      </c>
      <c r="S14" s="57">
        <f>Q14+R14</f>
        <v>124.27179199999996</v>
      </c>
      <c r="T14" s="57">
        <f>VLOOKUP(M14,Credito1,2)</f>
        <v>188.7</v>
      </c>
      <c r="U14" s="57">
        <f>S14-T14</f>
        <v>-64.428208000000026</v>
      </c>
      <c r="V14" s="59"/>
      <c r="W14" s="55">
        <v>0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2098.85</v>
      </c>
      <c r="AB14" s="64"/>
    </row>
    <row r="15" spans="3:28" ht="32.1" customHeight="1">
      <c r="C15" s="49">
        <v>4</v>
      </c>
      <c r="D15" s="50" t="s">
        <v>283</v>
      </c>
      <c r="E15" s="50" t="s">
        <v>95</v>
      </c>
      <c r="F15" s="51"/>
      <c r="G15" s="52"/>
      <c r="H15" s="53">
        <v>1964.73</v>
      </c>
      <c r="I15" s="54">
        <v>0</v>
      </c>
      <c r="J15" s="55">
        <f>SUM(H15:I15)</f>
        <v>1964.73</v>
      </c>
      <c r="K15" s="56"/>
      <c r="L15" s="57"/>
      <c r="M15" s="57"/>
      <c r="N15" s="57"/>
      <c r="O15" s="57"/>
      <c r="P15" s="58"/>
      <c r="Q15" s="57"/>
      <c r="R15" s="57"/>
      <c r="S15" s="57"/>
      <c r="T15" s="57"/>
      <c r="U15" s="57"/>
      <c r="V15" s="59"/>
      <c r="W15" s="55">
        <v>0</v>
      </c>
      <c r="X15" s="60"/>
      <c r="Y15" s="61">
        <v>0</v>
      </c>
      <c r="Z15" s="55">
        <f>SUM(X15:Y15)</f>
        <v>0</v>
      </c>
      <c r="AA15" s="62">
        <f>J15+W15-Z15</f>
        <v>1964.73</v>
      </c>
      <c r="AB15" s="64"/>
    </row>
    <row r="16" spans="3:28" ht="35.1" customHeight="1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3:28">
      <c r="C17" s="4"/>
      <c r="D17" s="4"/>
      <c r="E17" s="72" t="s">
        <v>143</v>
      </c>
      <c r="F17" s="66"/>
      <c r="G17" s="66"/>
      <c r="H17" s="73">
        <f>SUM(H12:H15)</f>
        <v>6602.1100000000006</v>
      </c>
      <c r="I17" s="66"/>
      <c r="J17" s="73">
        <f>SUM(J12:J16)</f>
        <v>6602.1100000000006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73">
        <f>SUM(AA12:AA16)</f>
        <v>6602.1100000000006</v>
      </c>
      <c r="AB17" s="4"/>
    </row>
    <row r="18" spans="3:28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3:28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3:28">
      <c r="C20" s="4"/>
      <c r="D20" s="4" t="s">
        <v>256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 t="s">
        <v>253</v>
      </c>
      <c r="Y20" s="4"/>
      <c r="Z20" s="4"/>
      <c r="AA20" s="4"/>
      <c r="AB20" s="4"/>
    </row>
    <row r="21" spans="3:28">
      <c r="C21" s="4"/>
      <c r="D21" s="182" t="s">
        <v>237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182" t="s">
        <v>238</v>
      </c>
      <c r="Y21" s="4"/>
      <c r="Z21" s="4"/>
      <c r="AA21" s="4"/>
      <c r="AB21" s="4"/>
    </row>
    <row r="22" spans="3:28">
      <c r="C22" s="4"/>
      <c r="D22" s="183" t="s">
        <v>67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183" t="s">
        <v>239</v>
      </c>
      <c r="Y22" s="4"/>
      <c r="Z22" s="4"/>
      <c r="AA22" s="4"/>
      <c r="AB22" s="4"/>
    </row>
    <row r="23" spans="3:28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3:28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3:28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3:28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3:28">
      <c r="C27" s="4"/>
      <c r="D27" s="6"/>
      <c r="E27" s="4"/>
      <c r="F27" s="4"/>
      <c r="G27" s="4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6"/>
    </row>
    <row r="28" spans="3:28">
      <c r="C28" s="4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</row>
    <row r="29" spans="3:28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</sheetData>
  <sheetProtection selectLockedCells="1" selectUnlockedCells="1"/>
  <mergeCells count="7">
    <mergeCell ref="C3:AB3"/>
    <mergeCell ref="C4:AB4"/>
    <mergeCell ref="C6:AB6"/>
    <mergeCell ref="H7:J7"/>
    <mergeCell ref="N7:S7"/>
    <mergeCell ref="X7:Z7"/>
    <mergeCell ref="C5:AB5"/>
  </mergeCells>
  <phoneticPr fontId="0" type="noConversion"/>
  <pageMargins left="0.39370078740157483" right="0.31496062992125984" top="0.55118110236220474" bottom="0.74803149606299213" header="0.31496062992125984" footer="0.31496062992125984"/>
  <pageSetup paperSize="5" scale="9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C1:AB25"/>
  <sheetViews>
    <sheetView topLeftCell="C10" workbookViewId="0">
      <selection activeCell="E44" sqref="E44:E45"/>
    </sheetView>
  </sheetViews>
  <sheetFormatPr baseColWidth="10" defaultRowHeight="12.75"/>
  <cols>
    <col min="1" max="1" width="5.85546875" style="4" customWidth="1"/>
    <col min="2" max="2" width="4" style="4" customWidth="1"/>
    <col min="3" max="3" width="4.42578125" style="4" customWidth="1"/>
    <col min="4" max="4" width="40" style="4" customWidth="1"/>
    <col min="5" max="5" width="19.42578125" style="4" customWidth="1"/>
    <col min="6" max="6" width="6.5703125" style="4" hidden="1" customWidth="1"/>
    <col min="7" max="7" width="10" style="4" hidden="1" customWidth="1"/>
    <col min="8" max="8" width="9.5703125" style="4" bestFit="1" customWidth="1"/>
    <col min="9" max="9" width="6.85546875" style="4" bestFit="1" customWidth="1"/>
    <col min="10" max="10" width="10.7109375" style="4" bestFit="1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7.85546875" style="4" bestFit="1" customWidth="1"/>
    <col min="24" max="24" width="5.85546875" style="4" customWidth="1"/>
    <col min="25" max="25" width="5.7109375" style="4" customWidth="1"/>
    <col min="26" max="26" width="5.28515625" style="4" customWidth="1"/>
    <col min="27" max="27" width="9.5703125" style="4" bestFit="1" customWidth="1"/>
    <col min="28" max="28" width="39.7109375" style="4" customWidth="1"/>
    <col min="29" max="16384" width="11.42578125" style="4"/>
  </cols>
  <sheetData>
    <row r="1" spans="3:28" ht="5.25" customHeight="1"/>
    <row r="2" spans="3:28" ht="5.25" customHeight="1"/>
    <row r="3" spans="3:28">
      <c r="D3" s="6"/>
      <c r="H3" s="6"/>
      <c r="AB3" s="6"/>
    </row>
    <row r="4" spans="3:28"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</row>
    <row r="6" spans="3:28" ht="18">
      <c r="C6" s="349" t="s">
        <v>68</v>
      </c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</row>
    <row r="7" spans="3:28" ht="15">
      <c r="C7" s="350" t="str">
        <f>REGIDORES!B4</f>
        <v>SUELDOS 16 AL 30 DE NOVIEMBRE DE 2016</v>
      </c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</row>
    <row r="8" spans="3:28" ht="15">
      <c r="C8" s="350" t="s">
        <v>69</v>
      </c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</row>
    <row r="9" spans="3:28">
      <c r="C9" s="25"/>
      <c r="D9" s="25"/>
      <c r="E9" s="25"/>
      <c r="F9" s="26" t="s">
        <v>22</v>
      </c>
      <c r="G9" s="26" t="s">
        <v>6</v>
      </c>
      <c r="H9" s="351" t="s">
        <v>1</v>
      </c>
      <c r="I9" s="352"/>
      <c r="J9" s="353"/>
      <c r="K9" s="27"/>
      <c r="L9" s="28" t="s">
        <v>25</v>
      </c>
      <c r="M9" s="29"/>
      <c r="N9" s="354" t="s">
        <v>9</v>
      </c>
      <c r="O9" s="355"/>
      <c r="P9" s="355"/>
      <c r="Q9" s="355"/>
      <c r="R9" s="355"/>
      <c r="S9" s="356"/>
      <c r="T9" s="28" t="s">
        <v>29</v>
      </c>
      <c r="U9" s="28" t="s">
        <v>10</v>
      </c>
      <c r="V9" s="30"/>
      <c r="W9" s="26" t="s">
        <v>53</v>
      </c>
      <c r="X9" s="351" t="s">
        <v>2</v>
      </c>
      <c r="Y9" s="352"/>
      <c r="Z9" s="353"/>
      <c r="AA9" s="26" t="s">
        <v>0</v>
      </c>
      <c r="AB9" s="47"/>
    </row>
    <row r="10" spans="3:28">
      <c r="C10" s="31" t="s">
        <v>21</v>
      </c>
      <c r="D10" s="31"/>
      <c r="E10" s="31"/>
      <c r="F10" s="32" t="s">
        <v>23</v>
      </c>
      <c r="G10" s="31" t="s">
        <v>24</v>
      </c>
      <c r="H10" s="26" t="s">
        <v>6</v>
      </c>
      <c r="I10" s="26" t="s">
        <v>61</v>
      </c>
      <c r="J10" s="26" t="s">
        <v>27</v>
      </c>
      <c r="K10" s="27"/>
      <c r="L10" s="33" t="s">
        <v>26</v>
      </c>
      <c r="M10" s="29" t="s">
        <v>31</v>
      </c>
      <c r="N10" s="29" t="s">
        <v>12</v>
      </c>
      <c r="O10" s="29" t="s">
        <v>33</v>
      </c>
      <c r="P10" s="29" t="s">
        <v>35</v>
      </c>
      <c r="Q10" s="29" t="s">
        <v>36</v>
      </c>
      <c r="R10" s="29" t="s">
        <v>14</v>
      </c>
      <c r="S10" s="29" t="s">
        <v>10</v>
      </c>
      <c r="T10" s="33" t="s">
        <v>39</v>
      </c>
      <c r="U10" s="33" t="s">
        <v>40</v>
      </c>
      <c r="V10" s="30"/>
      <c r="W10" s="31" t="s">
        <v>30</v>
      </c>
      <c r="X10" s="26" t="s">
        <v>3</v>
      </c>
      <c r="Y10" s="26" t="s">
        <v>57</v>
      </c>
      <c r="Z10" s="26" t="s">
        <v>7</v>
      </c>
      <c r="AA10" s="31" t="s">
        <v>4</v>
      </c>
      <c r="AB10" s="48" t="s">
        <v>60</v>
      </c>
    </row>
    <row r="11" spans="3:28" ht="15">
      <c r="C11" s="34"/>
      <c r="D11" s="93"/>
      <c r="E11" s="93" t="s">
        <v>65</v>
      </c>
      <c r="F11" s="31"/>
      <c r="G11" s="31"/>
      <c r="H11" s="31" t="s">
        <v>46</v>
      </c>
      <c r="I11" s="31" t="s">
        <v>62</v>
      </c>
      <c r="J11" s="31" t="s">
        <v>28</v>
      </c>
      <c r="K11" s="27"/>
      <c r="L11" s="33" t="s">
        <v>42</v>
      </c>
      <c r="M11" s="28" t="s">
        <v>32</v>
      </c>
      <c r="N11" s="28" t="s">
        <v>13</v>
      </c>
      <c r="O11" s="28" t="s">
        <v>34</v>
      </c>
      <c r="P11" s="28" t="s">
        <v>34</v>
      </c>
      <c r="Q11" s="28" t="s">
        <v>37</v>
      </c>
      <c r="R11" s="28" t="s">
        <v>15</v>
      </c>
      <c r="S11" s="28" t="s">
        <v>38</v>
      </c>
      <c r="T11" s="33" t="s">
        <v>19</v>
      </c>
      <c r="U11" s="35" t="s">
        <v>41</v>
      </c>
      <c r="V11" s="36"/>
      <c r="W11" s="31" t="s">
        <v>52</v>
      </c>
      <c r="X11" s="31"/>
      <c r="Y11" s="31"/>
      <c r="Z11" s="31" t="s">
        <v>43</v>
      </c>
      <c r="AA11" s="31" t="s">
        <v>5</v>
      </c>
      <c r="AB11" s="63"/>
    </row>
    <row r="12" spans="3:28" ht="15">
      <c r="C12" s="31"/>
      <c r="D12" s="94"/>
      <c r="E12" s="94" t="s">
        <v>64</v>
      </c>
      <c r="F12" s="65"/>
      <c r="G12" s="65"/>
      <c r="H12" s="95"/>
      <c r="I12" s="95"/>
      <c r="J12" s="95"/>
      <c r="K12" s="98"/>
      <c r="L12" s="95"/>
      <c r="M12" s="95"/>
      <c r="N12" s="95"/>
      <c r="O12" s="95"/>
      <c r="P12" s="95"/>
      <c r="Q12" s="95"/>
      <c r="R12" s="95"/>
      <c r="S12" s="95"/>
      <c r="T12" s="95"/>
      <c r="U12" s="98"/>
      <c r="V12" s="98"/>
      <c r="W12" s="95"/>
      <c r="X12" s="95"/>
      <c r="Y12" s="95"/>
      <c r="Z12" s="95"/>
      <c r="AA12" s="95"/>
      <c r="AB12" s="96"/>
    </row>
    <row r="13" spans="3:28" ht="15">
      <c r="C13" s="31"/>
      <c r="D13" s="70"/>
      <c r="E13" s="70"/>
      <c r="F13" s="69"/>
      <c r="G13" s="69"/>
      <c r="H13" s="69"/>
      <c r="I13" s="69"/>
      <c r="J13" s="69"/>
      <c r="K13" s="30"/>
      <c r="L13" s="69"/>
      <c r="M13" s="69"/>
      <c r="N13" s="69"/>
      <c r="O13" s="69"/>
      <c r="P13" s="69"/>
      <c r="Q13" s="69"/>
      <c r="R13" s="69"/>
      <c r="S13" s="69"/>
      <c r="T13" s="69"/>
      <c r="U13" s="30"/>
      <c r="V13" s="30"/>
      <c r="W13" s="69"/>
      <c r="X13" s="69"/>
      <c r="Y13" s="69"/>
      <c r="Z13" s="69"/>
      <c r="AA13" s="69"/>
      <c r="AB13" s="71"/>
    </row>
    <row r="14" spans="3:28" ht="24.95" customHeight="1">
      <c r="C14" s="49">
        <v>1</v>
      </c>
      <c r="D14" s="50" t="s">
        <v>285</v>
      </c>
      <c r="E14" s="50" t="s">
        <v>286</v>
      </c>
      <c r="F14" s="51"/>
      <c r="G14" s="52"/>
      <c r="H14" s="53">
        <v>1971.01</v>
      </c>
      <c r="I14" s="54">
        <v>0</v>
      </c>
      <c r="J14" s="55">
        <f>SUM(H14:I14)</f>
        <v>1971.01</v>
      </c>
      <c r="K14" s="56"/>
      <c r="L14" s="57">
        <v>0</v>
      </c>
      <c r="M14" s="57">
        <f>H14+L14</f>
        <v>1971.01</v>
      </c>
      <c r="N14" s="57">
        <f>VLOOKUP(M14,Tarifa1,1)</f>
        <v>244.81</v>
      </c>
      <c r="O14" s="57">
        <f>M14-N14</f>
        <v>1726.2</v>
      </c>
      <c r="P14" s="58">
        <f>VLOOKUP(M14,Tarifa1,3)</f>
        <v>6.4000000000000001E-2</v>
      </c>
      <c r="Q14" s="57">
        <f>O14*P14</f>
        <v>110.47680000000001</v>
      </c>
      <c r="R14" s="57">
        <f>VLOOKUP(M14,Tarifa1,2)</f>
        <v>4.6500000000000004</v>
      </c>
      <c r="S14" s="57">
        <f>Q14+R14</f>
        <v>115.12680000000002</v>
      </c>
      <c r="T14" s="57">
        <f>VLOOKUP(M14,Credito1,2)</f>
        <v>188.7</v>
      </c>
      <c r="U14" s="57">
        <f>S14-T14</f>
        <v>-73.573199999999972</v>
      </c>
      <c r="V14" s="59"/>
      <c r="W14" s="55">
        <f>-IF(U14&gt;0,0,U14)</f>
        <v>73.573199999999972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2044.5832</v>
      </c>
      <c r="AB14" s="64"/>
    </row>
    <row r="15" spans="3:28" ht="24.95" customHeight="1">
      <c r="C15" s="49">
        <v>2</v>
      </c>
      <c r="D15" s="50" t="s">
        <v>287</v>
      </c>
      <c r="E15" s="50" t="s">
        <v>95</v>
      </c>
      <c r="F15" s="51"/>
      <c r="G15" s="52"/>
      <c r="H15" s="53">
        <v>1988.57</v>
      </c>
      <c r="I15" s="54">
        <v>0</v>
      </c>
      <c r="J15" s="55">
        <f>SUM(H15:I15)</f>
        <v>1988.57</v>
      </c>
      <c r="K15" s="56"/>
      <c r="L15" s="57">
        <v>0</v>
      </c>
      <c r="M15" s="57">
        <f>H15+L15</f>
        <v>1988.57</v>
      </c>
      <c r="N15" s="57">
        <f>VLOOKUP(M15,Tarifa1,1)</f>
        <v>244.81</v>
      </c>
      <c r="O15" s="57">
        <f>M15-N15</f>
        <v>1743.76</v>
      </c>
      <c r="P15" s="58">
        <f>VLOOKUP(M15,Tarifa1,3)</f>
        <v>6.4000000000000001E-2</v>
      </c>
      <c r="Q15" s="57">
        <f>O15*P15</f>
        <v>111.60064</v>
      </c>
      <c r="R15" s="57">
        <f>VLOOKUP(M15,Tarifa1,2)</f>
        <v>4.6500000000000004</v>
      </c>
      <c r="S15" s="57">
        <f>Q15+R15</f>
        <v>116.25064</v>
      </c>
      <c r="T15" s="57">
        <f>VLOOKUP(M15,Credito1,2)</f>
        <v>188.7</v>
      </c>
      <c r="U15" s="57">
        <f>S15-T15</f>
        <v>-72.449359999999984</v>
      </c>
      <c r="V15" s="59"/>
      <c r="W15" s="55">
        <f>-IF(U15&gt;0,0,U15)</f>
        <v>72.449359999999984</v>
      </c>
      <c r="X15" s="60">
        <v>0</v>
      </c>
      <c r="Y15" s="61">
        <v>0</v>
      </c>
      <c r="Z15" s="55">
        <f>SUM(X15:Y15)</f>
        <v>0</v>
      </c>
      <c r="AA15" s="62">
        <f>J15+W15-Z15</f>
        <v>2061.0193599999998</v>
      </c>
      <c r="AB15" s="64"/>
    </row>
    <row r="16" spans="3:28" ht="24.95" customHeight="1">
      <c r="C16" s="49"/>
      <c r="D16" s="50"/>
      <c r="E16" s="50"/>
      <c r="F16" s="51"/>
      <c r="G16" s="52"/>
      <c r="H16" s="53"/>
      <c r="I16" s="54"/>
      <c r="J16" s="55"/>
      <c r="K16" s="56"/>
      <c r="L16" s="57"/>
      <c r="M16" s="57"/>
      <c r="N16" s="57"/>
      <c r="O16" s="57"/>
      <c r="P16" s="58"/>
      <c r="Q16" s="57"/>
      <c r="R16" s="57"/>
      <c r="S16" s="57"/>
      <c r="T16" s="57"/>
      <c r="U16" s="57"/>
      <c r="V16" s="59"/>
      <c r="W16" s="55"/>
      <c r="X16" s="60"/>
      <c r="Y16" s="61"/>
      <c r="Z16" s="55"/>
      <c r="AA16" s="62"/>
      <c r="AB16" s="64"/>
    </row>
    <row r="17" spans="3:28" ht="24.95" customHeight="1">
      <c r="C17" s="49"/>
      <c r="D17" s="50"/>
      <c r="E17" s="50"/>
      <c r="F17" s="51"/>
      <c r="G17" s="52"/>
      <c r="H17" s="53"/>
      <c r="I17" s="54"/>
      <c r="J17" s="55"/>
      <c r="K17" s="56"/>
      <c r="L17" s="57"/>
      <c r="M17" s="57"/>
      <c r="N17" s="57"/>
      <c r="O17" s="57"/>
      <c r="P17" s="58"/>
      <c r="Q17" s="57"/>
      <c r="R17" s="57"/>
      <c r="S17" s="57"/>
      <c r="T17" s="57"/>
      <c r="U17" s="57"/>
      <c r="V17" s="59"/>
      <c r="W17" s="55"/>
      <c r="X17" s="60"/>
      <c r="Y17" s="61"/>
      <c r="Z17" s="55"/>
      <c r="AA17" s="62"/>
      <c r="AB17" s="64"/>
    </row>
    <row r="18" spans="3:28" ht="24.95" customHeight="1">
      <c r="C18" s="38"/>
      <c r="D18" s="38"/>
      <c r="E18" s="38"/>
      <c r="F18" s="37"/>
      <c r="G18" s="38"/>
      <c r="H18" s="39"/>
      <c r="I18" s="39"/>
      <c r="J18" s="39"/>
      <c r="K18" s="40"/>
      <c r="L18" s="41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3:28" ht="24.95" customHeight="1" thickBot="1">
      <c r="C19" s="357" t="s">
        <v>143</v>
      </c>
      <c r="D19" s="358"/>
      <c r="E19" s="358"/>
      <c r="F19" s="358"/>
      <c r="G19" s="359"/>
      <c r="H19" s="44">
        <f>SUM(H14:H17)</f>
        <v>3959.58</v>
      </c>
      <c r="I19" s="44"/>
      <c r="J19" s="44">
        <f>SUM(J14:J17)</f>
        <v>3959.58</v>
      </c>
      <c r="K19" s="44">
        <f t="shared" ref="K19:Z19" si="0">SUM(K14:K17)</f>
        <v>0</v>
      </c>
      <c r="L19" s="44">
        <f t="shared" si="0"/>
        <v>0</v>
      </c>
      <c r="M19" s="44">
        <f t="shared" si="0"/>
        <v>3959.58</v>
      </c>
      <c r="N19" s="44">
        <f t="shared" si="0"/>
        <v>489.62</v>
      </c>
      <c r="O19" s="44">
        <f t="shared" si="0"/>
        <v>3469.96</v>
      </c>
      <c r="P19" s="44">
        <f t="shared" si="0"/>
        <v>0.128</v>
      </c>
      <c r="Q19" s="44">
        <f t="shared" si="0"/>
        <v>222.07744000000002</v>
      </c>
      <c r="R19" s="44">
        <f t="shared" si="0"/>
        <v>9.3000000000000007</v>
      </c>
      <c r="S19" s="44">
        <f t="shared" si="0"/>
        <v>231.37744000000004</v>
      </c>
      <c r="T19" s="44">
        <f t="shared" si="0"/>
        <v>377.4</v>
      </c>
      <c r="U19" s="44">
        <f t="shared" si="0"/>
        <v>-146.02255999999994</v>
      </c>
      <c r="V19" s="44">
        <f t="shared" si="0"/>
        <v>0</v>
      </c>
      <c r="W19" s="44">
        <f>SUM(W14:W17)</f>
        <v>146.02255999999994</v>
      </c>
      <c r="X19" s="44">
        <f t="shared" si="0"/>
        <v>0</v>
      </c>
      <c r="Y19" s="44">
        <f t="shared" si="0"/>
        <v>0</v>
      </c>
      <c r="Z19" s="44">
        <f t="shared" si="0"/>
        <v>0</v>
      </c>
      <c r="AA19" s="44">
        <f>SUM(AA14:AA17)</f>
        <v>4105.6025599999994</v>
      </c>
    </row>
    <row r="20" spans="3:28" ht="13.5" thickTop="1"/>
    <row r="24" spans="3:28">
      <c r="D24" s="6" t="s">
        <v>292</v>
      </c>
      <c r="H24" s="6"/>
      <c r="AB24" s="6" t="s">
        <v>284</v>
      </c>
    </row>
    <row r="25" spans="3:28">
      <c r="D25" s="66" t="s">
        <v>67</v>
      </c>
      <c r="E25" s="66"/>
      <c r="F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AB25" s="66" t="s">
        <v>66</v>
      </c>
    </row>
  </sheetData>
  <sheetProtection selectLockedCells="1" selectUnlockedCells="1"/>
  <mergeCells count="7">
    <mergeCell ref="C19:G19"/>
    <mergeCell ref="C6:AB6"/>
    <mergeCell ref="C7:AB7"/>
    <mergeCell ref="C8:AB8"/>
    <mergeCell ref="H9:J9"/>
    <mergeCell ref="N9:S9"/>
    <mergeCell ref="X9:Z9"/>
  </mergeCells>
  <phoneticPr fontId="18" type="noConversion"/>
  <pageMargins left="0.11811023622047245" right="0" top="0.98425196850393704" bottom="0.98425196850393704" header="0" footer="0"/>
  <pageSetup paperSize="5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G61"/>
  <sheetViews>
    <sheetView showGridLines="0" tabSelected="1" topLeftCell="A37" workbookViewId="0">
      <selection activeCell="D2" sqref="D2"/>
    </sheetView>
  </sheetViews>
  <sheetFormatPr baseColWidth="10" defaultRowHeight="12.75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>
      <c r="B2" s="8" t="s">
        <v>56</v>
      </c>
      <c r="C2" s="9"/>
      <c r="D2" s="9"/>
      <c r="E2" s="9"/>
      <c r="F2" s="9"/>
      <c r="G2" s="9"/>
    </row>
    <row r="3" spans="1:7">
      <c r="B3" s="10" t="s">
        <v>48</v>
      </c>
      <c r="C3" s="9"/>
      <c r="D3" s="9"/>
      <c r="E3" s="9"/>
      <c r="F3" s="9"/>
      <c r="G3" s="9"/>
    </row>
    <row r="4" spans="1:7">
      <c r="B4" s="21" t="s">
        <v>58</v>
      </c>
      <c r="C4" s="9"/>
      <c r="D4" s="9"/>
      <c r="E4" s="9"/>
      <c r="F4" s="9"/>
      <c r="G4" s="9"/>
    </row>
    <row r="5" spans="1:7">
      <c r="B5" s="9"/>
      <c r="C5" s="9"/>
      <c r="D5" s="9"/>
      <c r="E5" s="9"/>
      <c r="F5" s="9"/>
      <c r="G5" s="9"/>
    </row>
    <row r="6" spans="1:7">
      <c r="B6" s="9"/>
      <c r="C6" s="9"/>
      <c r="D6" s="9"/>
      <c r="E6" s="9"/>
      <c r="F6" s="9"/>
      <c r="G6" s="9"/>
    </row>
    <row r="7" spans="1:7" ht="18.75" customHeight="1">
      <c r="B7" s="367" t="s">
        <v>11</v>
      </c>
      <c r="C7" s="367"/>
      <c r="D7" s="367"/>
      <c r="E7" s="9"/>
      <c r="F7" s="360" t="s">
        <v>49</v>
      </c>
      <c r="G7" s="361"/>
    </row>
    <row r="8" spans="1:7" ht="14.25" customHeight="1">
      <c r="B8" s="364" t="s">
        <v>10</v>
      </c>
      <c r="C8" s="364"/>
      <c r="D8" s="364"/>
      <c r="E8" s="9"/>
      <c r="F8" s="365" t="s">
        <v>50</v>
      </c>
      <c r="G8" s="366"/>
    </row>
    <row r="9" spans="1:7" ht="8.25" customHeight="1">
      <c r="B9" s="368"/>
      <c r="C9" s="368"/>
      <c r="D9" s="368"/>
      <c r="E9" s="9"/>
      <c r="F9" s="362"/>
      <c r="G9" s="363"/>
    </row>
    <row r="10" spans="1:7" ht="16.5" customHeight="1">
      <c r="B10" s="11" t="s">
        <v>12</v>
      </c>
      <c r="C10" s="11" t="s">
        <v>14</v>
      </c>
      <c r="D10" s="11" t="s">
        <v>8</v>
      </c>
      <c r="E10" s="9"/>
      <c r="F10" s="11" t="s">
        <v>17</v>
      </c>
      <c r="G10" s="11" t="s">
        <v>51</v>
      </c>
    </row>
    <row r="11" spans="1:7">
      <c r="A11" s="2"/>
      <c r="B11" s="11" t="s">
        <v>13</v>
      </c>
      <c r="C11" s="11" t="s">
        <v>15</v>
      </c>
      <c r="D11" s="11" t="s">
        <v>16</v>
      </c>
      <c r="E11" s="9"/>
      <c r="F11" s="11"/>
      <c r="G11" s="11" t="s">
        <v>52</v>
      </c>
    </row>
    <row r="12" spans="1:7">
      <c r="A12" s="3"/>
      <c r="B12" s="12"/>
      <c r="C12" s="12"/>
      <c r="D12" s="12"/>
      <c r="E12" s="13"/>
      <c r="F12" s="12"/>
      <c r="G12" s="12"/>
    </row>
    <row r="13" spans="1:7" ht="15.95" customHeight="1">
      <c r="A13" s="1"/>
      <c r="B13" s="22">
        <v>0.01</v>
      </c>
      <c r="C13" s="22">
        <v>0</v>
      </c>
      <c r="D13" s="23">
        <v>1.9199999999999998E-2</v>
      </c>
      <c r="E13" s="16"/>
      <c r="F13" s="22">
        <v>0.01</v>
      </c>
      <c r="G13" s="22">
        <v>407.02</v>
      </c>
    </row>
    <row r="14" spans="1:7" ht="15.95" customHeight="1">
      <c r="A14" s="1"/>
      <c r="B14" s="22">
        <v>496.08</v>
      </c>
      <c r="C14" s="22">
        <v>9.52</v>
      </c>
      <c r="D14" s="23">
        <v>6.4000000000000001E-2</v>
      </c>
      <c r="E14" s="16"/>
      <c r="F14" s="22">
        <v>1768.97</v>
      </c>
      <c r="G14" s="22">
        <v>406.83</v>
      </c>
    </row>
    <row r="15" spans="1:7" ht="15.95" customHeight="1">
      <c r="A15" s="1"/>
      <c r="B15" s="22">
        <v>4210.42</v>
      </c>
      <c r="C15" s="22">
        <v>247.23</v>
      </c>
      <c r="D15" s="23">
        <v>0.10879999999999999</v>
      </c>
      <c r="E15" s="16"/>
      <c r="F15" s="22">
        <v>2653.39</v>
      </c>
      <c r="G15" s="22">
        <v>406.62</v>
      </c>
    </row>
    <row r="16" spans="1:7" ht="15.95" customHeight="1">
      <c r="A16" s="1"/>
      <c r="B16" s="22">
        <v>7399.43</v>
      </c>
      <c r="C16" s="22">
        <v>594.24</v>
      </c>
      <c r="D16" s="23">
        <v>0.16</v>
      </c>
      <c r="E16" s="16"/>
      <c r="F16" s="22">
        <v>3472.85</v>
      </c>
      <c r="G16" s="22">
        <v>392.77</v>
      </c>
    </row>
    <row r="17" spans="1:7" ht="15.95" customHeight="1">
      <c r="A17" s="1"/>
      <c r="B17" s="22">
        <v>8601.51</v>
      </c>
      <c r="C17" s="22">
        <v>786.55</v>
      </c>
      <c r="D17" s="23">
        <v>0.1792</v>
      </c>
      <c r="E17" s="16"/>
      <c r="F17" s="22">
        <v>3537.88</v>
      </c>
      <c r="G17" s="22">
        <v>382.46</v>
      </c>
    </row>
    <row r="18" spans="1:7" ht="15.95" customHeight="1">
      <c r="A18" s="1"/>
      <c r="B18" s="22">
        <v>10298.36</v>
      </c>
      <c r="C18" s="22">
        <v>1090.6199999999999</v>
      </c>
      <c r="D18" s="23">
        <v>0.21360000000000001</v>
      </c>
      <c r="E18" s="16"/>
      <c r="F18" s="22">
        <v>4446.16</v>
      </c>
      <c r="G18" s="22">
        <v>354.23</v>
      </c>
    </row>
    <row r="19" spans="1:7" ht="15.95" customHeight="1">
      <c r="A19" s="1"/>
      <c r="B19" s="22">
        <v>20770.3</v>
      </c>
      <c r="C19" s="22">
        <v>3327.42</v>
      </c>
      <c r="D19" s="23">
        <v>0.23519999999999999</v>
      </c>
      <c r="E19" s="9"/>
      <c r="F19" s="22">
        <v>4717.1899999999996</v>
      </c>
      <c r="G19" s="22">
        <v>324.87</v>
      </c>
    </row>
    <row r="20" spans="1:7" ht="15.95" customHeight="1">
      <c r="A20" s="1"/>
      <c r="B20" s="22">
        <v>32736.84</v>
      </c>
      <c r="C20" s="22">
        <v>6141.95</v>
      </c>
      <c r="D20" s="23">
        <v>0.3</v>
      </c>
      <c r="E20" s="9"/>
      <c r="F20" s="22">
        <v>5335.43</v>
      </c>
      <c r="G20" s="22">
        <v>294.63</v>
      </c>
    </row>
    <row r="21" spans="1:7">
      <c r="A21" s="1"/>
      <c r="B21" s="17"/>
      <c r="C21" s="17"/>
      <c r="D21" s="18"/>
      <c r="E21" s="9"/>
      <c r="F21" s="22">
        <v>6224.68</v>
      </c>
      <c r="G21" s="22">
        <v>253.54</v>
      </c>
    </row>
    <row r="22" spans="1:7">
      <c r="A22" s="1"/>
      <c r="E22" s="9"/>
      <c r="F22" s="24">
        <v>7113.91</v>
      </c>
      <c r="G22" s="24">
        <v>217.61</v>
      </c>
    </row>
    <row r="23" spans="1:7">
      <c r="B23" s="9"/>
      <c r="C23" s="9"/>
      <c r="D23" s="9"/>
      <c r="E23" s="9"/>
      <c r="F23" s="24">
        <v>7382.34</v>
      </c>
      <c r="G23" s="24">
        <v>0</v>
      </c>
    </row>
    <row r="24" spans="1:7">
      <c r="B24" s="9"/>
      <c r="C24" s="9"/>
      <c r="D24" s="9"/>
      <c r="E24" s="9"/>
      <c r="F24" s="19"/>
      <c r="G24" s="19"/>
    </row>
    <row r="25" spans="1:7">
      <c r="C25" s="9"/>
      <c r="D25" s="9"/>
      <c r="E25" s="9"/>
      <c r="F25" s="9"/>
      <c r="G25" s="9"/>
    </row>
    <row r="26" spans="1:7">
      <c r="C26" s="9"/>
      <c r="D26" s="9"/>
      <c r="E26" s="9"/>
      <c r="F26" s="9"/>
      <c r="G26" s="9"/>
    </row>
    <row r="27" spans="1:7">
      <c r="C27" s="9"/>
      <c r="D27" s="9"/>
      <c r="E27" s="9"/>
      <c r="F27" s="9"/>
      <c r="G27" s="9"/>
    </row>
    <row r="28" spans="1:7">
      <c r="C28" s="9"/>
      <c r="D28" s="9"/>
      <c r="E28" s="9"/>
      <c r="F28" s="9"/>
      <c r="G28" s="9"/>
    </row>
    <row r="29" spans="1:7">
      <c r="B29" s="9"/>
      <c r="C29" s="9"/>
      <c r="D29" s="9"/>
      <c r="E29" s="9"/>
      <c r="F29" s="9"/>
      <c r="G29" s="9"/>
    </row>
    <row r="30" spans="1:7">
      <c r="B30" s="10" t="s">
        <v>20</v>
      </c>
      <c r="C30" s="9"/>
      <c r="D30" s="9"/>
      <c r="E30" s="9"/>
      <c r="F30" s="9"/>
      <c r="G30" s="9"/>
    </row>
    <row r="31" spans="1:7" ht="15.75">
      <c r="B31" s="20" t="s">
        <v>59</v>
      </c>
      <c r="C31" s="9"/>
      <c r="D31" s="9"/>
      <c r="E31" s="9"/>
      <c r="F31" s="9"/>
      <c r="G31" s="9"/>
    </row>
    <row r="32" spans="1:7">
      <c r="B32" s="43" t="s">
        <v>47</v>
      </c>
      <c r="C32" s="9"/>
      <c r="D32" s="9"/>
      <c r="E32" s="9"/>
      <c r="F32" s="9"/>
      <c r="G32" s="9"/>
    </row>
    <row r="41" spans="2:7">
      <c r="B41" s="7" t="s">
        <v>45</v>
      </c>
    </row>
    <row r="44" spans="2:7" ht="17.25" customHeight="1">
      <c r="B44" s="367" t="s">
        <v>11</v>
      </c>
      <c r="C44" s="367"/>
      <c r="D44" s="367"/>
      <c r="E44" s="9"/>
      <c r="F44" s="360" t="s">
        <v>54</v>
      </c>
      <c r="G44" s="361"/>
    </row>
    <row r="45" spans="2:7">
      <c r="B45" s="364" t="s">
        <v>10</v>
      </c>
      <c r="C45" s="364"/>
      <c r="D45" s="364"/>
      <c r="E45" s="9"/>
      <c r="F45" s="365" t="s">
        <v>55</v>
      </c>
      <c r="G45" s="366"/>
    </row>
    <row r="46" spans="2:7" ht="5.25" customHeight="1">
      <c r="B46" s="368"/>
      <c r="C46" s="368"/>
      <c r="D46" s="368"/>
      <c r="E46" s="9"/>
      <c r="F46" s="362"/>
      <c r="G46" s="363"/>
    </row>
    <row r="47" spans="2:7">
      <c r="B47" s="11" t="s">
        <v>12</v>
      </c>
      <c r="C47" s="11" t="s">
        <v>14</v>
      </c>
      <c r="D47" s="11" t="s">
        <v>8</v>
      </c>
      <c r="E47" s="9"/>
      <c r="F47" s="11" t="s">
        <v>17</v>
      </c>
      <c r="G47" s="11" t="s">
        <v>18</v>
      </c>
    </row>
    <row r="48" spans="2:7">
      <c r="B48" s="11" t="s">
        <v>13</v>
      </c>
      <c r="C48" s="11" t="s">
        <v>15</v>
      </c>
      <c r="D48" s="11" t="s">
        <v>16</v>
      </c>
      <c r="E48" s="9"/>
      <c r="F48" s="11"/>
      <c r="G48" s="11" t="s">
        <v>19</v>
      </c>
    </row>
    <row r="49" spans="2:7">
      <c r="B49" s="12"/>
      <c r="C49" s="12"/>
      <c r="D49" s="12"/>
      <c r="E49" s="13"/>
      <c r="F49" s="12"/>
      <c r="G49" s="12"/>
    </row>
    <row r="50" spans="2:7" ht="15.95" customHeight="1">
      <c r="B50" s="14">
        <v>0.01</v>
      </c>
      <c r="C50" s="14">
        <v>0</v>
      </c>
      <c r="D50" s="15">
        <v>1.9199999999999998E-2</v>
      </c>
      <c r="E50" s="16"/>
      <c r="F50" s="14">
        <v>0.01</v>
      </c>
      <c r="G50" s="14">
        <v>200.85</v>
      </c>
    </row>
    <row r="51" spans="2:7" ht="15.95" customHeight="1">
      <c r="B51" s="14">
        <v>244.81</v>
      </c>
      <c r="C51" s="14">
        <v>4.6500000000000004</v>
      </c>
      <c r="D51" s="15">
        <v>6.4000000000000001E-2</v>
      </c>
      <c r="E51" s="16"/>
      <c r="F51" s="14">
        <v>872.86</v>
      </c>
      <c r="G51" s="14">
        <v>200.7</v>
      </c>
    </row>
    <row r="52" spans="2:7" ht="15.95" customHeight="1">
      <c r="B52" s="14">
        <v>2077.5100000000002</v>
      </c>
      <c r="C52" s="14">
        <v>121.95</v>
      </c>
      <c r="D52" s="15">
        <v>0.10879999999999999</v>
      </c>
      <c r="E52" s="16"/>
      <c r="F52" s="14">
        <v>1309.21</v>
      </c>
      <c r="G52" s="14">
        <v>200.7</v>
      </c>
    </row>
    <row r="53" spans="2:7" ht="15.95" customHeight="1">
      <c r="B53" s="14">
        <v>3651.01</v>
      </c>
      <c r="C53" s="14">
        <v>293.25</v>
      </c>
      <c r="D53" s="15">
        <v>0.16</v>
      </c>
      <c r="E53" s="16"/>
      <c r="F53" s="14">
        <v>1713.61</v>
      </c>
      <c r="G53" s="14">
        <v>193.8</v>
      </c>
    </row>
    <row r="54" spans="2:7" ht="15.95" customHeight="1">
      <c r="B54" s="14">
        <v>4244.1099999999997</v>
      </c>
      <c r="C54" s="14">
        <v>388.05</v>
      </c>
      <c r="D54" s="15">
        <v>0.1792</v>
      </c>
      <c r="E54" s="16"/>
      <c r="F54" s="14">
        <v>1745.71</v>
      </c>
      <c r="G54" s="14">
        <v>188.7</v>
      </c>
    </row>
    <row r="55" spans="2:7" ht="15.95" customHeight="1">
      <c r="B55" s="14">
        <v>5081.41</v>
      </c>
      <c r="C55" s="14">
        <v>538.20000000000005</v>
      </c>
      <c r="D55" s="15">
        <v>0.21360000000000001</v>
      </c>
      <c r="E55" s="16"/>
      <c r="F55" s="14">
        <v>2193.7600000000002</v>
      </c>
      <c r="G55" s="14">
        <v>174.75</v>
      </c>
    </row>
    <row r="56" spans="2:7" ht="15.95" customHeight="1">
      <c r="B56" s="14">
        <v>10248.459999999999</v>
      </c>
      <c r="C56" s="14">
        <v>1641.75</v>
      </c>
      <c r="D56" s="15">
        <v>0.23519999999999999</v>
      </c>
      <c r="E56" s="9"/>
      <c r="F56" s="14">
        <v>2327.56</v>
      </c>
      <c r="G56" s="14">
        <v>160.35</v>
      </c>
    </row>
    <row r="57" spans="2:7" ht="15.95" customHeight="1">
      <c r="B57" s="14">
        <v>16153.06</v>
      </c>
      <c r="C57" s="14">
        <v>3030.6</v>
      </c>
      <c r="D57" s="15">
        <v>0.3</v>
      </c>
      <c r="E57" s="9"/>
      <c r="F57" s="14">
        <v>2632.66</v>
      </c>
      <c r="G57" s="14">
        <v>145.35</v>
      </c>
    </row>
    <row r="58" spans="2:7" ht="15.95" customHeight="1">
      <c r="B58" s="17">
        <v>30838.81</v>
      </c>
      <c r="C58" s="17">
        <v>7436.25</v>
      </c>
      <c r="D58" s="18">
        <v>0.32</v>
      </c>
      <c r="E58" s="9"/>
      <c r="F58" s="14">
        <v>3071.41</v>
      </c>
      <c r="G58" s="14">
        <v>125.1</v>
      </c>
    </row>
    <row r="59" spans="2:7" ht="15.95" customHeight="1">
      <c r="B59" s="4">
        <v>41118.46</v>
      </c>
      <c r="C59" s="4">
        <v>10725.75</v>
      </c>
      <c r="D59" s="117">
        <v>0.34</v>
      </c>
      <c r="E59" s="9"/>
      <c r="F59" s="14">
        <v>3510.16</v>
      </c>
      <c r="G59" s="14">
        <v>107.4</v>
      </c>
    </row>
    <row r="60" spans="2:7" ht="15.95" customHeight="1">
      <c r="B60" s="9">
        <v>123355.21</v>
      </c>
      <c r="C60" s="9">
        <v>38686.35</v>
      </c>
      <c r="D60" s="118">
        <v>0.35</v>
      </c>
      <c r="E60" s="9"/>
      <c r="F60" s="14">
        <v>3642.61</v>
      </c>
      <c r="G60" s="14">
        <v>0</v>
      </c>
    </row>
    <row r="61" spans="2:7">
      <c r="B61" s="9"/>
      <c r="C61" s="9"/>
      <c r="D61" s="9"/>
      <c r="E61" s="9"/>
      <c r="F61" s="19"/>
      <c r="G61" s="19"/>
    </row>
  </sheetData>
  <sheetProtection sheet="1" selectLockedCells="1" pivotTables="0" selectUnlockedCells="1"/>
  <mergeCells count="12">
    <mergeCell ref="B46:D46"/>
    <mergeCell ref="F46:G46"/>
    <mergeCell ref="B44:D44"/>
    <mergeCell ref="F44:G44"/>
    <mergeCell ref="B45:D45"/>
    <mergeCell ref="F45:G45"/>
    <mergeCell ref="F7:G7"/>
    <mergeCell ref="F9:G9"/>
    <mergeCell ref="B8:D8"/>
    <mergeCell ref="F8:G8"/>
    <mergeCell ref="B7:D7"/>
    <mergeCell ref="B9:D9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Concentrado General</vt:lpstr>
      <vt:lpstr>REGIDORES</vt:lpstr>
      <vt:lpstr>PERMANENTES</vt:lpstr>
      <vt:lpstr>SUPERNUMERARIO</vt:lpstr>
      <vt:lpstr>SEG.PUB.MPAL Y PROTECCION CIVIL</vt:lpstr>
      <vt:lpstr>JUBILADOS</vt:lpstr>
      <vt:lpstr>LAUDO</vt:lpstr>
      <vt:lpstr>tarifa</vt:lpstr>
      <vt:lpstr>JUBILADOS!Área_de_impresión</vt:lpstr>
      <vt:lpstr>PERMANENTES!Área_de_impresión</vt:lpstr>
      <vt:lpstr>REGIDORES!Área_de_impresión</vt:lpstr>
      <vt:lpstr>'SEG.PUB.MPAL Y PROTECCION CIVIL'!Área_de_impresión</vt:lpstr>
      <vt:lpstr>SUPERNUMERARIO!Área_de_impresión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PC</cp:lastModifiedBy>
  <cp:lastPrinted>2016-11-28T18:37:31Z</cp:lastPrinted>
  <dcterms:created xsi:type="dcterms:W3CDTF">2000-05-05T04:08:27Z</dcterms:created>
  <dcterms:modified xsi:type="dcterms:W3CDTF">2017-01-03T20:14:00Z</dcterms:modified>
</cp:coreProperties>
</file>